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duktionen\zz_Statik_Basisdokumente\Vorlagen neues Statikdokument\"/>
    </mc:Choice>
  </mc:AlternateContent>
  <xr:revisionPtr revIDLastSave="0" documentId="13_ncr:1_{92509A94-3851-43D3-BCD6-1FBF82B12EDA}" xr6:coauthVersionLast="36" xr6:coauthVersionMax="47" xr10:uidLastSave="{00000000-0000-0000-0000-000000000000}"/>
  <bookViews>
    <workbookView xWindow="-3696" yWindow="-21096" windowWidth="38400" windowHeight="21096" xr2:uid="{6987A2D4-A001-4BE8-BC22-CC95F4C63A44}"/>
  </bookViews>
  <sheets>
    <sheet name="Widerstand- und Flächenmomente" sheetId="1" r:id="rId1"/>
    <sheet name="Einzellast " sheetId="6" r:id="rId2"/>
    <sheet name="Streckenlast" sheetId="3" r:id="rId3"/>
    <sheet name="Dropdown,Quelle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6" l="1"/>
  <c r="H25" i="6"/>
  <c r="I25" i="6"/>
  <c r="G25" i="6"/>
  <c r="F22" i="6"/>
  <c r="D22" i="6"/>
  <c r="I18" i="6"/>
  <c r="H18" i="6"/>
  <c r="G18" i="6"/>
  <c r="G11" i="6"/>
  <c r="M15" i="6"/>
  <c r="F15" i="6"/>
  <c r="I11" i="6"/>
  <c r="H11" i="6"/>
  <c r="E15" i="6"/>
  <c r="D15" i="6"/>
  <c r="E8" i="6"/>
  <c r="D8" i="6"/>
  <c r="F8" i="6"/>
  <c r="M8" i="6" s="1"/>
  <c r="G4" i="6"/>
  <c r="D4" i="6"/>
  <c r="G22" i="6" s="1"/>
  <c r="I22" i="6" l="1"/>
  <c r="H22" i="6"/>
  <c r="L15" i="6"/>
  <c r="G8" i="6"/>
  <c r="H15" i="6"/>
  <c r="L22" i="6"/>
  <c r="G15" i="6"/>
  <c r="I15" i="6"/>
  <c r="L8" i="6"/>
  <c r="C39" i="1" l="1"/>
  <c r="C37" i="1"/>
  <c r="C35" i="1"/>
  <c r="F31" i="1"/>
  <c r="F23" i="1"/>
  <c r="C23" i="1"/>
  <c r="C21" i="1"/>
  <c r="F21" i="1" s="1"/>
  <c r="C31" i="1"/>
  <c r="C29" i="1"/>
  <c r="F29" i="1" s="1"/>
  <c r="C27" i="1"/>
  <c r="F27" i="1" s="1"/>
  <c r="F19" i="1"/>
  <c r="C19" i="1"/>
  <c r="J11" i="1"/>
  <c r="G4" i="3" l="1"/>
  <c r="D4" i="3"/>
  <c r="F15" i="3" l="1"/>
  <c r="M5" i="1"/>
  <c r="L5" i="1"/>
  <c r="J5" i="1"/>
  <c r="H5" i="1"/>
  <c r="G5" i="1"/>
  <c r="F8" i="3"/>
  <c r="L15" i="3"/>
  <c r="L22" i="3"/>
  <c r="F22" i="3"/>
  <c r="M22" i="3" s="1"/>
  <c r="E22" i="3"/>
  <c r="D22" i="3"/>
  <c r="E15" i="3"/>
  <c r="D15" i="3"/>
  <c r="L8" i="3"/>
  <c r="E8" i="3"/>
  <c r="D8" i="3"/>
  <c r="F15" i="1"/>
  <c r="J15" i="1" s="1"/>
  <c r="K13" i="1"/>
  <c r="J13" i="1"/>
  <c r="I13" i="1"/>
  <c r="H13" i="1"/>
  <c r="G13" i="1"/>
  <c r="K37" i="1" s="1"/>
  <c r="H37" i="1" s="1"/>
  <c r="G8" i="3"/>
  <c r="H11" i="1"/>
  <c r="G11" i="1"/>
  <c r="M9" i="1"/>
  <c r="L9" i="1"/>
  <c r="K9" i="1"/>
  <c r="J9" i="1"/>
  <c r="I9" i="1"/>
  <c r="H9" i="1"/>
  <c r="G9" i="1"/>
  <c r="M7" i="1"/>
  <c r="L7" i="1"/>
  <c r="J7" i="1"/>
  <c r="H7" i="1"/>
  <c r="G7" i="1"/>
  <c r="H25" i="3" l="1"/>
  <c r="H8" i="6"/>
  <c r="K35" i="1"/>
  <c r="J19" i="1"/>
  <c r="I19" i="1" s="1"/>
  <c r="J27" i="1"/>
  <c r="I27" i="1" s="1"/>
  <c r="I8" i="6"/>
  <c r="G25" i="3"/>
  <c r="H8" i="3"/>
  <c r="F37" i="1"/>
  <c r="J37" i="1" s="1"/>
  <c r="I37" i="1" s="1"/>
  <c r="M13" i="1"/>
  <c r="J21" i="1"/>
  <c r="I21" i="1" s="1"/>
  <c r="J29" i="1"/>
  <c r="I29" i="1" s="1"/>
  <c r="M11" i="1"/>
  <c r="G11" i="3"/>
  <c r="H15" i="3"/>
  <c r="I15" i="3"/>
  <c r="G18" i="3"/>
  <c r="H18" i="3"/>
  <c r="G15" i="3"/>
  <c r="I22" i="3"/>
  <c r="G22" i="3"/>
  <c r="H22" i="3"/>
  <c r="I8" i="3"/>
  <c r="H11" i="3"/>
  <c r="M15" i="3"/>
  <c r="M8" i="3"/>
  <c r="L11" i="1"/>
  <c r="L13" i="1"/>
  <c r="G15" i="1"/>
  <c r="K39" i="1" s="1"/>
  <c r="H15" i="1"/>
  <c r="F39" i="1" l="1"/>
  <c r="H39" i="1"/>
  <c r="F35" i="1"/>
  <c r="J35" i="1" s="1"/>
  <c r="I35" i="1" s="1"/>
  <c r="H35" i="1"/>
  <c r="J23" i="1"/>
  <c r="I23" i="1" s="1"/>
  <c r="J31" i="1"/>
  <c r="I31" i="1" s="1"/>
  <c r="I25" i="3"/>
  <c r="I18" i="3"/>
  <c r="I11" i="3"/>
  <c r="M15" i="1"/>
  <c r="L15" i="1"/>
  <c r="J39" i="1" l="1"/>
  <c r="I39" i="1" s="1"/>
</calcChain>
</file>

<file path=xl/sharedStrings.xml><?xml version="1.0" encoding="utf-8"?>
<sst xmlns="http://schemas.openxmlformats.org/spreadsheetml/2006/main" count="178" uniqueCount="73">
  <si>
    <t>Profil</t>
  </si>
  <si>
    <t>Fläche                      A [cm²]</t>
  </si>
  <si>
    <r>
      <t>Flächenmoment           Iy (cm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)</t>
    </r>
  </si>
  <si>
    <r>
      <t>Flächenmoment Iz (cm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)</t>
    </r>
  </si>
  <si>
    <t>Gewicht / lfm                              Stahl [Kg/m]</t>
  </si>
  <si>
    <t>Gewicht / lfm                              Alu [Kg/m]</t>
  </si>
  <si>
    <t>Kreis (voll)</t>
  </si>
  <si>
    <t>Viereck (voll)</t>
  </si>
  <si>
    <t>Rechteck (voll)</t>
  </si>
  <si>
    <t>Hohlprofil Viereck</t>
  </si>
  <si>
    <t>Hohlprofil Rechteck</t>
  </si>
  <si>
    <t>Hohlprofil Kreis</t>
  </si>
  <si>
    <t>Höhe Träger                H [mm]</t>
  </si>
  <si>
    <t>Abstand aussenkante - Trägermitte                                               e [mm]</t>
  </si>
  <si>
    <t>Schwerachsenabstand - Trägermitte                                       a [mm]</t>
  </si>
  <si>
    <t>Lastfall</t>
  </si>
  <si>
    <t>Profil Frei</t>
  </si>
  <si>
    <t>Träger auf 2 Stützen</t>
  </si>
  <si>
    <t>Trägerlänge l [m]</t>
  </si>
  <si>
    <t xml:space="preserve">Auflagerkräfte A         F [N]  </t>
  </si>
  <si>
    <t xml:space="preserve">Auflagerkräfte B         F [N] </t>
  </si>
  <si>
    <r>
      <t>Biegemoment M</t>
    </r>
    <r>
      <rPr>
        <b/>
        <vertAlign val="subscript"/>
        <sz val="10"/>
        <rFont val="Arial"/>
        <family val="2"/>
      </rPr>
      <t>b</t>
    </r>
    <r>
      <rPr>
        <b/>
        <sz val="10"/>
        <rFont val="Arial"/>
        <family val="2"/>
      </rPr>
      <t xml:space="preserve"> [Nm]</t>
    </r>
  </si>
  <si>
    <r>
      <t>Durchbiegung          W</t>
    </r>
    <r>
      <rPr>
        <b/>
        <vertAlign val="subscript"/>
        <sz val="10"/>
        <rFont val="Arial"/>
        <family val="2"/>
      </rPr>
      <t>(Iy)</t>
    </r>
    <r>
      <rPr>
        <b/>
        <sz val="10"/>
        <rFont val="Arial"/>
        <family val="2"/>
      </rPr>
      <t xml:space="preserve"> [mm]</t>
    </r>
  </si>
  <si>
    <r>
      <t>Durchbiegung        W</t>
    </r>
    <r>
      <rPr>
        <b/>
        <vertAlign val="subscript"/>
        <sz val="10"/>
        <rFont val="Arial"/>
        <family val="2"/>
      </rPr>
      <t>(Iy)</t>
    </r>
    <r>
      <rPr>
        <b/>
        <sz val="10"/>
        <rFont val="Arial"/>
        <family val="2"/>
      </rPr>
      <t xml:space="preserve"> [mm]</t>
    </r>
  </si>
  <si>
    <r>
      <t>Durchbiegung     W</t>
    </r>
    <r>
      <rPr>
        <b/>
        <vertAlign val="subscript"/>
        <sz val="10"/>
        <rFont val="Arial"/>
        <family val="2"/>
      </rPr>
      <t>(Iy)</t>
    </r>
    <r>
      <rPr>
        <b/>
        <sz val="10"/>
        <rFont val="Arial"/>
        <family val="2"/>
      </rPr>
      <t xml:space="preserve"> [mm]</t>
    </r>
  </si>
  <si>
    <r>
      <t>I [cm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]                          frei wählbar</t>
    </r>
  </si>
  <si>
    <r>
      <t>W</t>
    </r>
    <r>
      <rPr>
        <b/>
        <vertAlign val="subscript"/>
        <sz val="10"/>
        <rFont val="Arial"/>
        <family val="2"/>
      </rPr>
      <t>b</t>
    </r>
    <r>
      <rPr>
        <b/>
        <sz val="10"/>
        <rFont val="Arial"/>
        <family val="2"/>
      </rPr>
      <t xml:space="preserve">  [cm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]      </t>
    </r>
    <r>
      <rPr>
        <b/>
        <vertAlign val="subscript"/>
        <sz val="10"/>
        <rFont val="Arial"/>
        <family val="2"/>
      </rPr>
      <t xml:space="preserve">            </t>
    </r>
    <r>
      <rPr>
        <b/>
        <sz val="10"/>
        <rFont val="Arial"/>
        <family val="2"/>
      </rPr>
      <t xml:space="preserve"> frei wählbar</t>
    </r>
  </si>
  <si>
    <t>Durchbiegung              W [mm]</t>
  </si>
  <si>
    <t>Biegespannung Sigma [N/mm²]</t>
  </si>
  <si>
    <t>Beidseitig eingespannt</t>
  </si>
  <si>
    <t>MI / MK   [Nm]</t>
  </si>
  <si>
    <t>Durchbiegung          W [mm]</t>
  </si>
  <si>
    <t>Durchbiegung                W [mm]</t>
  </si>
  <si>
    <t>Einseitig eingespannt</t>
  </si>
  <si>
    <t xml:space="preserve"> MK  [Nm]</t>
  </si>
  <si>
    <t>Durchbiegung                  W [mm]</t>
  </si>
  <si>
    <t>Höhe H [mm]</t>
  </si>
  <si>
    <t>Breite B [mm]</t>
  </si>
  <si>
    <t>Formeln</t>
  </si>
  <si>
    <t>Außen D [mm]</t>
  </si>
  <si>
    <t>Innen d [mm]</t>
  </si>
  <si>
    <t>2 Gurt- Trägerprofil</t>
  </si>
  <si>
    <t>Wandstärke           t [mm]</t>
  </si>
  <si>
    <t>Widerstands- und Flächenmomente</t>
  </si>
  <si>
    <t>Streckenlast q [N/m]</t>
  </si>
  <si>
    <t>Streckenlast gleichmäßig</t>
  </si>
  <si>
    <t>Material</t>
  </si>
  <si>
    <t>E-Modul:</t>
  </si>
  <si>
    <t>Sigma zul.:</t>
  </si>
  <si>
    <t>Dropdown</t>
  </si>
  <si>
    <t>N/mm²</t>
  </si>
  <si>
    <t>Biegespannung und Durchbiegung</t>
  </si>
  <si>
    <r>
      <t>Flächenmoment               I</t>
    </r>
    <r>
      <rPr>
        <b/>
        <vertAlign val="subscript"/>
        <sz val="10"/>
        <rFont val="Arial"/>
        <family val="2"/>
      </rPr>
      <t>ges</t>
    </r>
    <r>
      <rPr>
        <b/>
        <sz val="10"/>
        <rFont val="Arial"/>
        <family val="2"/>
      </rPr>
      <t xml:space="preserve"> [cm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]  </t>
    </r>
  </si>
  <si>
    <r>
      <t>Widerstands-moment Wy (cm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</si>
  <si>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Widerstands-moment Wz (cm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</si>
  <si>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Aep= Fläche Einzelprofil</t>
  </si>
  <si>
    <r>
      <t>Widerstandsmoment                       W</t>
    </r>
    <r>
      <rPr>
        <b/>
        <vertAlign val="subscript"/>
        <sz val="10"/>
        <rFont val="Arial"/>
        <family val="2"/>
      </rPr>
      <t xml:space="preserve">ges </t>
    </r>
    <r>
      <rPr>
        <b/>
        <sz val="10"/>
        <rFont val="Arial"/>
        <family val="2"/>
      </rPr>
      <t>[cm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]</t>
    </r>
  </si>
  <si>
    <t>4 Gurt- Trägerprofil</t>
  </si>
  <si>
    <t>3 Gurt- Trägerprofil</t>
  </si>
  <si>
    <t>AlMg3 (6060)</t>
  </si>
  <si>
    <t>Stahl (JR235)</t>
  </si>
  <si>
    <t>Hohlprofil Viereck-Träger</t>
  </si>
  <si>
    <t>Hohlprofil Rechteck-Träger</t>
  </si>
  <si>
    <t>Hohlprofil Rund-Träger</t>
  </si>
  <si>
    <t>Abstand aussenkante - Trägermitte                                               e [cm]</t>
  </si>
  <si>
    <t>Schwerachsenabstand - Trägermitte                                       a [cm]</t>
  </si>
  <si>
    <t>Obergurt</t>
  </si>
  <si>
    <t>Untergurt</t>
  </si>
  <si>
    <t>Schwerpunkt Träger neu von unten</t>
  </si>
  <si>
    <t>Einzellast mittig</t>
  </si>
  <si>
    <t xml:space="preserve">Auflagerkraft A         F [N]  </t>
  </si>
  <si>
    <t>Einzellast [N]</t>
  </si>
  <si>
    <t>Einzellast  [N]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</si>
</sst>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2" fontId="0" fillId="8" borderId="12" xfId="0" applyNumberFormat="1" applyFill="1" applyBorder="1" applyAlignment="1">
      <alignment horizontal="center" vertical="center" wrapText="1"/>
    </xf>
    <xf numFmtId="2" fontId="0" fillId="8" borderId="13" xfId="0" applyNumberFormat="1" applyFill="1" applyBorder="1" applyAlignment="1">
      <alignment horizontal="center" vertical="center" wrapText="1"/>
    </xf>
    <xf numFmtId="2" fontId="0" fillId="6" borderId="13" xfId="0" applyNumberFormat="1" applyFill="1" applyBorder="1" applyAlignment="1">
      <alignment horizontal="center" vertical="center" wrapText="1"/>
    </xf>
    <xf numFmtId="2" fontId="0" fillId="6" borderId="14" xfId="0" applyNumberFormat="1" applyFill="1" applyBorder="1" applyAlignment="1">
      <alignment horizontal="center" vertical="center" wrapText="1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164" fontId="0" fillId="7" borderId="13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2" fontId="0" fillId="8" borderId="14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2" fontId="0" fillId="8" borderId="19" xfId="0" applyNumberFormat="1" applyFill="1" applyBorder="1" applyAlignment="1">
      <alignment horizontal="center" vertical="center" wrapText="1"/>
    </xf>
    <xf numFmtId="2" fontId="0" fillId="6" borderId="19" xfId="0" applyNumberFormat="1" applyFill="1" applyBorder="1" applyAlignment="1">
      <alignment horizontal="center" vertical="center" wrapText="1"/>
    </xf>
    <xf numFmtId="2" fontId="0" fillId="6" borderId="20" xfId="0" applyNumberFormat="1" applyFill="1" applyBorder="1" applyAlignment="1">
      <alignment horizontal="center" vertical="center" wrapText="1"/>
    </xf>
    <xf numFmtId="2" fontId="0" fillId="8" borderId="21" xfId="0" applyNumberForma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2" fontId="3" fillId="4" borderId="25" xfId="0" applyNumberFormat="1" applyFont="1" applyFill="1" applyBorder="1" applyAlignment="1">
      <alignment horizontal="center" vertical="center" wrapText="1"/>
    </xf>
    <xf numFmtId="2" fontId="3" fillId="4" borderId="27" xfId="0" applyNumberFormat="1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2" fontId="0" fillId="8" borderId="26" xfId="0" applyNumberFormat="1" applyFill="1" applyBorder="1" applyAlignment="1">
      <alignment horizontal="center" vertical="center" wrapText="1"/>
    </xf>
    <xf numFmtId="2" fontId="0" fillId="8" borderId="27" xfId="0" applyNumberForma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/>
    </xf>
    <xf numFmtId="2" fontId="0" fillId="8" borderId="26" xfId="0" applyNumberFormat="1" applyFill="1" applyBorder="1" applyAlignment="1">
      <alignment horizontal="center" vertical="center"/>
    </xf>
    <xf numFmtId="2" fontId="0" fillId="8" borderId="27" xfId="0" applyNumberForma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2" fontId="8" fillId="8" borderId="25" xfId="0" applyNumberFormat="1" applyFont="1" applyFill="1" applyBorder="1" applyAlignment="1">
      <alignment horizontal="center" vertical="center" wrapText="1"/>
    </xf>
    <xf numFmtId="2" fontId="8" fillId="8" borderId="26" xfId="0" applyNumberFormat="1" applyFont="1" applyFill="1" applyBorder="1" applyAlignment="1">
      <alignment horizontal="center" vertical="center" wrapText="1"/>
    </xf>
    <xf numFmtId="2" fontId="8" fillId="8" borderId="35" xfId="0" applyNumberFormat="1" applyFont="1" applyFill="1" applyBorder="1" applyAlignment="1">
      <alignment horizontal="center" vertical="center" wrapText="1"/>
    </xf>
    <xf numFmtId="2" fontId="8" fillId="8" borderId="36" xfId="0" applyNumberFormat="1" applyFont="1" applyFill="1" applyBorder="1" applyAlignment="1">
      <alignment horizontal="center" vertical="center" wrapText="1"/>
    </xf>
    <xf numFmtId="2" fontId="8" fillId="8" borderId="37" xfId="0" applyNumberFormat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2" fontId="8" fillId="8" borderId="27" xfId="0" applyNumberFormat="1" applyFont="1" applyFill="1" applyBorder="1" applyAlignment="1">
      <alignment horizontal="center" vertical="center" wrapText="1"/>
    </xf>
    <xf numFmtId="2" fontId="0" fillId="8" borderId="37" xfId="0" applyNumberForma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2" fontId="8" fillId="8" borderId="25" xfId="0" applyNumberFormat="1" applyFont="1" applyFill="1" applyBorder="1" applyAlignment="1">
      <alignment horizontal="center" vertical="center"/>
    </xf>
    <xf numFmtId="2" fontId="8" fillId="8" borderId="26" xfId="0" applyNumberFormat="1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8" borderId="20" xfId="0" applyNumberForma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4" xfId="0" applyBorder="1"/>
    <xf numFmtId="0" fontId="0" fillId="0" borderId="23" xfId="0" applyBorder="1"/>
    <xf numFmtId="0" fontId="0" fillId="0" borderId="14" xfId="0" applyBorder="1"/>
    <xf numFmtId="0" fontId="0" fillId="0" borderId="28" xfId="0" applyBorder="1"/>
    <xf numFmtId="0" fontId="0" fillId="0" borderId="9" xfId="0" applyBorder="1"/>
    <xf numFmtId="0" fontId="0" fillId="0" borderId="7" xfId="0" applyBorder="1"/>
    <xf numFmtId="0" fontId="0" fillId="0" borderId="1" xfId="0" applyBorder="1"/>
    <xf numFmtId="0" fontId="0" fillId="0" borderId="18" xfId="0" applyBorder="1"/>
    <xf numFmtId="0" fontId="0" fillId="0" borderId="41" xfId="0" applyBorder="1"/>
    <xf numFmtId="0" fontId="1" fillId="7" borderId="25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11" borderId="24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left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 wrapText="1"/>
    </xf>
    <xf numFmtId="0" fontId="3" fillId="11" borderId="33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40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12" borderId="26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8" borderId="26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2" fontId="0" fillId="8" borderId="41" xfId="0" applyNumberForma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0" fillId="6" borderId="30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6" borderId="3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32496</xdr:colOff>
      <xdr:row>4</xdr:row>
      <xdr:rowOff>7471</xdr:rowOff>
    </xdr:from>
    <xdr:to>
      <xdr:col>13</xdr:col>
      <xdr:colOff>733960</xdr:colOff>
      <xdr:row>4</xdr:row>
      <xdr:rowOff>627530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C5C9E04E-E91A-49FE-AC62-6A3F30FC0D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06"/>
        <a:stretch/>
      </xdr:blipFill>
      <xdr:spPr bwMode="auto">
        <a:xfrm>
          <a:off x="13264402" y="1307353"/>
          <a:ext cx="701464" cy="620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74706</xdr:colOff>
      <xdr:row>14</xdr:row>
      <xdr:rowOff>7471</xdr:rowOff>
    </xdr:from>
    <xdr:to>
      <xdr:col>13</xdr:col>
      <xdr:colOff>732806</xdr:colOff>
      <xdr:row>14</xdr:row>
      <xdr:rowOff>612588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665C183-87D7-43F8-85CD-86A7071B9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0412" y="5341471"/>
          <a:ext cx="658100" cy="605117"/>
        </a:xfrm>
        <a:prstGeom prst="rect">
          <a:avLst/>
        </a:prstGeom>
      </xdr:spPr>
    </xdr:pic>
    <xdr:clientData/>
  </xdr:twoCellAnchor>
  <xdr:oneCellAnchor>
    <xdr:from>
      <xdr:col>16</xdr:col>
      <xdr:colOff>225101</xdr:colOff>
      <xdr:row>4</xdr:row>
      <xdr:rowOff>134378</xdr:rowOff>
    </xdr:from>
    <xdr:ext cx="611065" cy="3202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805FA870-8185-4948-9ADE-A3E785A0680B}"/>
                </a:ext>
              </a:extLst>
            </xdr:cNvPr>
            <xdr:cNvSpPr txBox="1"/>
          </xdr:nvSpPr>
          <xdr:spPr>
            <a:xfrm>
              <a:off x="18811925" y="1180260"/>
              <a:ext cx="611065" cy="320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𝑑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805FA870-8185-4948-9ADE-A3E785A0680B}"/>
                </a:ext>
              </a:extLst>
            </xdr:cNvPr>
            <xdr:cNvSpPr txBox="1"/>
          </xdr:nvSpPr>
          <xdr:spPr>
            <a:xfrm>
              <a:off x="18811925" y="1180260"/>
              <a:ext cx="611065" cy="320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𝐴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∙𝑑)/</a:t>
              </a:r>
              <a:r>
                <a:rPr lang="de-DE" sz="1100" b="0" i="0">
                  <a:latin typeface="Cambria Math" panose="02040503050406030204" pitchFamily="18" charset="0"/>
                </a:rPr>
                <a:t>4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16</xdr:col>
      <xdr:colOff>52292</xdr:colOff>
      <xdr:row>14</xdr:row>
      <xdr:rowOff>149410</xdr:rowOff>
    </xdr:from>
    <xdr:ext cx="1172883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9CCAF5D6-90C7-4410-B0C0-AA2E1FC910AA}"/>
                </a:ext>
              </a:extLst>
            </xdr:cNvPr>
            <xdr:cNvSpPr txBox="1"/>
          </xdr:nvSpPr>
          <xdr:spPr>
            <a:xfrm>
              <a:off x="18639116" y="5483410"/>
              <a:ext cx="1172883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∙(</m:t>
                        </m:r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𝐷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𝑑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9CCAF5D6-90C7-4410-B0C0-AA2E1FC910AA}"/>
                </a:ext>
              </a:extLst>
            </xdr:cNvPr>
            <xdr:cNvSpPr txBox="1"/>
          </xdr:nvSpPr>
          <xdr:spPr>
            <a:xfrm>
              <a:off x="18639116" y="5483410"/>
              <a:ext cx="1172883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𝐴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∙(𝐷^2−𝑑^2))/</a:t>
              </a:r>
              <a:r>
                <a:rPr lang="de-DE" sz="1100" b="0" i="0">
                  <a:latin typeface="Cambria Math" panose="02040503050406030204" pitchFamily="18" charset="0"/>
                </a:rPr>
                <a:t>4</a:t>
              </a:r>
              <a:endParaRPr lang="de-DE" sz="1100"/>
            </a:p>
          </xdr:txBody>
        </xdr:sp>
      </mc:Fallback>
    </mc:AlternateContent>
    <xdr:clientData/>
  </xdr:oneCellAnchor>
  <xdr:twoCellAnchor editAs="oneCell">
    <xdr:from>
      <xdr:col>13</xdr:col>
      <xdr:colOff>13534</xdr:colOff>
      <xdr:row>8</xdr:row>
      <xdr:rowOff>74705</xdr:rowOff>
    </xdr:from>
    <xdr:to>
      <xdr:col>13</xdr:col>
      <xdr:colOff>723803</xdr:colOff>
      <xdr:row>8</xdr:row>
      <xdr:rowOff>732116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F748F16-EC5A-4170-A512-9B92FB0E6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39240" y="2779058"/>
          <a:ext cx="710269" cy="657411"/>
        </a:xfrm>
        <a:prstGeom prst="rect">
          <a:avLst/>
        </a:prstGeom>
      </xdr:spPr>
    </xdr:pic>
    <xdr:clientData/>
  </xdr:twoCellAnchor>
  <xdr:oneCellAnchor>
    <xdr:from>
      <xdr:col>16</xdr:col>
      <xdr:colOff>258367</xdr:colOff>
      <xdr:row>8</xdr:row>
      <xdr:rowOff>368755</xdr:rowOff>
    </xdr:from>
    <xdr:ext cx="59017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4C5691B6-12BD-4EE4-8F22-8614C6F071DF}"/>
                </a:ext>
              </a:extLst>
            </xdr:cNvPr>
            <xdr:cNvSpPr txBox="1"/>
          </xdr:nvSpPr>
          <xdr:spPr>
            <a:xfrm>
              <a:off x="17028229" y="3328832"/>
              <a:ext cx="5901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i="1">
                      <a:latin typeface="Cambria Math" panose="02040503050406030204" pitchFamily="18" charset="0"/>
                    </a:rPr>
                    <m:t>𝐴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𝐻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·</m:t>
                  </m:r>
                </m:oMath>
              </a14:m>
              <a:r>
                <a:rPr lang="de-DE" sz="1100"/>
                <a:t> B</a:t>
              </a:r>
            </a:p>
          </xdr:txBody>
        </xdr:sp>
      </mc:Choice>
      <mc:Fallback xmlns="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4C5691B6-12BD-4EE4-8F22-8614C6F071DF}"/>
                </a:ext>
              </a:extLst>
            </xdr:cNvPr>
            <xdr:cNvSpPr txBox="1"/>
          </xdr:nvSpPr>
          <xdr:spPr>
            <a:xfrm>
              <a:off x="17028229" y="3328832"/>
              <a:ext cx="59017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𝐴=</a:t>
              </a:r>
              <a:r>
                <a:rPr lang="de-DE" sz="1100" b="0" i="0">
                  <a:latin typeface="Cambria Math" panose="02040503050406030204" pitchFamily="18" charset="0"/>
                </a:rPr>
                <a:t>𝐻·</a:t>
              </a:r>
              <a:r>
                <a:rPr lang="de-DE" sz="1100"/>
                <a:t> B</a:t>
              </a:r>
            </a:p>
          </xdr:txBody>
        </xdr:sp>
      </mc:Fallback>
    </mc:AlternateContent>
    <xdr:clientData/>
  </xdr:oneCellAnchor>
  <xdr:twoCellAnchor editAs="oneCell">
    <xdr:from>
      <xdr:col>13</xdr:col>
      <xdr:colOff>56544</xdr:colOff>
      <xdr:row>6</xdr:row>
      <xdr:rowOff>29881</xdr:rowOff>
    </xdr:from>
    <xdr:to>
      <xdr:col>13</xdr:col>
      <xdr:colOff>664881</xdr:colOff>
      <xdr:row>6</xdr:row>
      <xdr:rowOff>620059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1109059A-6D60-43CA-A96D-BE42D0FB0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flipH="1">
          <a:off x="14482250" y="1904999"/>
          <a:ext cx="608337" cy="590178"/>
        </a:xfrm>
        <a:prstGeom prst="rect">
          <a:avLst/>
        </a:prstGeom>
      </xdr:spPr>
    </xdr:pic>
    <xdr:clientData/>
  </xdr:twoCellAnchor>
  <xdr:oneCellAnchor>
    <xdr:from>
      <xdr:col>16</xdr:col>
      <xdr:colOff>193776</xdr:colOff>
      <xdr:row>6</xdr:row>
      <xdr:rowOff>242736</xdr:rowOff>
    </xdr:from>
    <xdr:ext cx="769470" cy="1740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40566A3B-921A-4C1B-B943-E92599D6BF49}"/>
                </a:ext>
              </a:extLst>
            </xdr:cNvPr>
            <xdr:cNvSpPr txBox="1"/>
          </xdr:nvSpPr>
          <xdr:spPr>
            <a:xfrm>
              <a:off x="16963638" y="2376336"/>
              <a:ext cx="769470" cy="1740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𝐵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²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40566A3B-921A-4C1B-B943-E92599D6BF49}"/>
                </a:ext>
              </a:extLst>
            </xdr:cNvPr>
            <xdr:cNvSpPr txBox="1"/>
          </xdr:nvSpPr>
          <xdr:spPr>
            <a:xfrm>
              <a:off x="16963638" y="2376336"/>
              <a:ext cx="769470" cy="1740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𝐴=</a:t>
              </a:r>
              <a:r>
                <a:rPr lang="de-DE" sz="1100" b="0" i="0">
                  <a:latin typeface="Cambria Math" panose="02040503050406030204" pitchFamily="18" charset="0"/>
                </a:rPr>
                <a:t>𝐵²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14</xdr:col>
      <xdr:colOff>197223</xdr:colOff>
      <xdr:row>4</xdr:row>
      <xdr:rowOff>170330</xdr:rowOff>
    </xdr:from>
    <xdr:ext cx="1000274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1BE255AA-1F8B-4234-91EE-0CEF08714431}"/>
                </a:ext>
              </a:extLst>
            </xdr:cNvPr>
            <xdr:cNvSpPr txBox="1"/>
          </xdr:nvSpPr>
          <xdr:spPr>
            <a:xfrm>
              <a:off x="14244917" y="1470212"/>
              <a:ext cx="100027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𝐼𝑧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𝐷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1BE255AA-1F8B-4234-91EE-0CEF08714431}"/>
                </a:ext>
              </a:extLst>
            </xdr:cNvPr>
            <xdr:cNvSpPr txBox="1"/>
          </xdr:nvSpPr>
          <xdr:spPr>
            <a:xfrm>
              <a:off x="14244917" y="1470212"/>
              <a:ext cx="1000274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∙𝐷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</a:t>
              </a:r>
              <a:r>
                <a:rPr lang="de-DE" sz="1100" b="0" i="0">
                  <a:latin typeface="Cambria Math" panose="02040503050406030204" pitchFamily="18" charset="0"/>
                </a:rPr>
                <a:t>4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125505</xdr:colOff>
      <xdr:row>4</xdr:row>
      <xdr:rowOff>125506</xdr:rowOff>
    </xdr:from>
    <xdr:ext cx="1143903" cy="338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feld 20">
              <a:extLst>
                <a:ext uri="{FF2B5EF4-FFF2-40B4-BE49-F238E27FC236}">
                  <a16:creationId xmlns:a16="http://schemas.microsoft.com/office/drawing/2014/main" id="{899261F9-BC2D-4D12-AC45-4193E43924A4}"/>
                </a:ext>
              </a:extLst>
            </xdr:cNvPr>
            <xdr:cNvSpPr txBox="1"/>
          </xdr:nvSpPr>
          <xdr:spPr>
            <a:xfrm>
              <a:off x="15526870" y="1425388"/>
              <a:ext cx="1143903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𝑊𝑧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𝐷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32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1" name="Textfeld 20">
              <a:extLst>
                <a:ext uri="{FF2B5EF4-FFF2-40B4-BE49-F238E27FC236}">
                  <a16:creationId xmlns:a16="http://schemas.microsoft.com/office/drawing/2014/main" id="{899261F9-BC2D-4D12-AC45-4193E43924A4}"/>
                </a:ext>
              </a:extLst>
            </xdr:cNvPr>
            <xdr:cNvSpPr txBox="1"/>
          </xdr:nvSpPr>
          <xdr:spPr>
            <a:xfrm>
              <a:off x="15526870" y="1425388"/>
              <a:ext cx="1143903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∙𝐷³)/32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14</xdr:col>
      <xdr:colOff>96887</xdr:colOff>
      <xdr:row>10</xdr:row>
      <xdr:rowOff>232738</xdr:rowOff>
    </xdr:from>
    <xdr:ext cx="765081" cy="3202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9C522395-BCCD-4BC4-ABA5-7213CDFAB25D}"/>
                </a:ext>
              </a:extLst>
            </xdr:cNvPr>
            <xdr:cNvSpPr txBox="1"/>
          </xdr:nvSpPr>
          <xdr:spPr>
            <a:xfrm>
              <a:off x="14111825" y="4148246"/>
              <a:ext cx="765081" cy="320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𝑏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9C522395-BCCD-4BC4-ABA5-7213CDFAB25D}"/>
                </a:ext>
              </a:extLst>
            </xdr:cNvPr>
            <xdr:cNvSpPr txBox="1"/>
          </xdr:nvSpPr>
          <xdr:spPr>
            <a:xfrm>
              <a:off x="14111825" y="4148246"/>
              <a:ext cx="765081" cy="3202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</a:t>
              </a:r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−𝑏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98613</xdr:colOff>
      <xdr:row>10</xdr:row>
      <xdr:rowOff>197223</xdr:rowOff>
    </xdr:from>
    <xdr:ext cx="876971" cy="338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4A19114F-C454-47C7-B39E-A59E7C89F75F}"/>
                </a:ext>
              </a:extLst>
            </xdr:cNvPr>
            <xdr:cNvSpPr txBox="1"/>
          </xdr:nvSpPr>
          <xdr:spPr>
            <a:xfrm>
              <a:off x="15467567" y="4112731"/>
              <a:ext cx="876971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𝐵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𝑏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6 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4A19114F-C454-47C7-B39E-A59E7C89F75F}"/>
                </a:ext>
              </a:extLst>
            </xdr:cNvPr>
            <xdr:cNvSpPr txBox="1"/>
          </xdr:nvSpPr>
          <xdr:spPr>
            <a:xfrm>
              <a:off x="15467567" y="4112731"/>
              <a:ext cx="876971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</a:t>
              </a:r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^3−𝑏³)/(6 )</a:t>
              </a:r>
              <a:endParaRPr lang="de-DE" sz="1100"/>
            </a:p>
          </xdr:txBody>
        </xdr:sp>
      </mc:Fallback>
    </mc:AlternateContent>
    <xdr:clientData/>
  </xdr:oneCellAnchor>
  <xdr:twoCellAnchor editAs="oneCell">
    <xdr:from>
      <xdr:col>13</xdr:col>
      <xdr:colOff>99645</xdr:colOff>
      <xdr:row>12</xdr:row>
      <xdr:rowOff>46893</xdr:rowOff>
    </xdr:from>
    <xdr:to>
      <xdr:col>13</xdr:col>
      <xdr:colOff>646745</xdr:colOff>
      <xdr:row>12</xdr:row>
      <xdr:rowOff>740164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F686459B-F7E8-43E5-B14A-FD1800042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299830" y="4917831"/>
          <a:ext cx="547100" cy="693271"/>
        </a:xfrm>
        <a:prstGeom prst="rect">
          <a:avLst/>
        </a:prstGeom>
      </xdr:spPr>
    </xdr:pic>
    <xdr:clientData/>
  </xdr:twoCellAnchor>
  <xdr:oneCellAnchor>
    <xdr:from>
      <xdr:col>14</xdr:col>
      <xdr:colOff>93785</xdr:colOff>
      <xdr:row>12</xdr:row>
      <xdr:rowOff>240322</xdr:rowOff>
    </xdr:from>
    <xdr:ext cx="1175835" cy="3386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C8DA1C5-DDCE-4680-8165-BFC1E50B6739}"/>
                </a:ext>
              </a:extLst>
            </xdr:cNvPr>
            <xdr:cNvSpPr txBox="1"/>
          </xdr:nvSpPr>
          <xdr:spPr>
            <a:xfrm>
              <a:off x="14108723" y="5111260"/>
              <a:ext cx="1175835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</m:t>
                        </m:r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𝐻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𝑏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C8DA1C5-DDCE-4680-8165-BFC1E50B6739}"/>
                </a:ext>
              </a:extLst>
            </xdr:cNvPr>
            <xdr:cNvSpPr txBox="1"/>
          </xdr:nvSpPr>
          <xdr:spPr>
            <a:xfrm>
              <a:off x="14108723" y="5111260"/>
              <a:ext cx="1175835" cy="3386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</a:t>
              </a:r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∙𝐻^3−𝑏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³)/12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87923</xdr:colOff>
      <xdr:row>12</xdr:row>
      <xdr:rowOff>205153</xdr:rowOff>
    </xdr:from>
    <xdr:ext cx="1244251" cy="338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2BA33180-0120-4FC4-A3F4-B63457769B64}"/>
                </a:ext>
              </a:extLst>
            </xdr:cNvPr>
            <xdr:cNvSpPr txBox="1"/>
          </xdr:nvSpPr>
          <xdr:spPr>
            <a:xfrm>
              <a:off x="15456877" y="5076091"/>
              <a:ext cx="1244251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</m:t>
                        </m:r>
                        <m:sSup>
                          <m:sSup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𝐻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3</m:t>
                            </m:r>
                          </m:sup>
                        </m:sSup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𝑏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h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2BA33180-0120-4FC4-A3F4-B63457769B64}"/>
                </a:ext>
              </a:extLst>
            </xdr:cNvPr>
            <xdr:cNvSpPr txBox="1"/>
          </xdr:nvSpPr>
          <xdr:spPr>
            <a:xfrm>
              <a:off x="15456877" y="5076091"/>
              <a:ext cx="1244251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</a:t>
              </a:r>
              <a:r>
                <a:rPr lang="de-DE" sz="1100" i="0">
                  <a:latin typeface="Cambria Math" panose="02040503050406030204" pitchFamily="18" charset="0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∙𝐻^3−𝑏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ℎ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³)/(6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𝐻)</a:t>
              </a:r>
              <a:endParaRPr lang="de-DE" sz="1100"/>
            </a:p>
          </xdr:txBody>
        </xdr:sp>
      </mc:Fallback>
    </mc:AlternateContent>
    <xdr:clientData/>
  </xdr:oneCellAnchor>
  <xdr:twoCellAnchor editAs="oneCell">
    <xdr:from>
      <xdr:col>13</xdr:col>
      <xdr:colOff>56516</xdr:colOff>
      <xdr:row>10</xdr:row>
      <xdr:rowOff>52754</xdr:rowOff>
    </xdr:from>
    <xdr:to>
      <xdr:col>13</xdr:col>
      <xdr:colOff>744048</xdr:colOff>
      <xdr:row>10</xdr:row>
      <xdr:rowOff>744415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6C373755-3E61-4C9D-969C-F6DA660F6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256701" y="3968262"/>
          <a:ext cx="687532" cy="691661"/>
        </a:xfrm>
        <a:prstGeom prst="rect">
          <a:avLst/>
        </a:prstGeom>
      </xdr:spPr>
    </xdr:pic>
    <xdr:clientData/>
  </xdr:twoCellAnchor>
  <xdr:oneCellAnchor>
    <xdr:from>
      <xdr:col>14</xdr:col>
      <xdr:colOff>169985</xdr:colOff>
      <xdr:row>6</xdr:row>
      <xdr:rowOff>169985</xdr:rowOff>
    </xdr:from>
    <xdr:ext cx="765531" cy="316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FBBEE849-1DDA-4642-B570-65B6321011F2}"/>
                </a:ext>
              </a:extLst>
            </xdr:cNvPr>
            <xdr:cNvSpPr txBox="1"/>
          </xdr:nvSpPr>
          <xdr:spPr>
            <a:xfrm>
              <a:off x="14184923" y="2303585"/>
              <a:ext cx="765531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𝐼𝑧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FBBEE849-1DDA-4642-B570-65B6321011F2}"/>
                </a:ext>
              </a:extLst>
            </xdr:cNvPr>
            <xdr:cNvSpPr txBox="1"/>
          </xdr:nvSpPr>
          <xdr:spPr>
            <a:xfrm>
              <a:off x="14184923" y="2303585"/>
              <a:ext cx="765531" cy="316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𝐵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187569</xdr:colOff>
      <xdr:row>6</xdr:row>
      <xdr:rowOff>146539</xdr:rowOff>
    </xdr:from>
    <xdr:ext cx="926472" cy="338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12B20837-3D45-41AD-814A-24CBA5F74551}"/>
                </a:ext>
              </a:extLst>
            </xdr:cNvPr>
            <xdr:cNvSpPr txBox="1"/>
          </xdr:nvSpPr>
          <xdr:spPr>
            <a:xfrm>
              <a:off x="15556523" y="2280139"/>
              <a:ext cx="926472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𝑊𝑧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12B20837-3D45-41AD-814A-24CBA5F74551}"/>
                </a:ext>
              </a:extLst>
            </xdr:cNvPr>
            <xdr:cNvSpPr txBox="1"/>
          </xdr:nvSpPr>
          <xdr:spPr>
            <a:xfrm>
              <a:off x="15556523" y="2280139"/>
              <a:ext cx="926472" cy="338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𝐵³/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16</xdr:col>
      <xdr:colOff>140676</xdr:colOff>
      <xdr:row>10</xdr:row>
      <xdr:rowOff>287216</xdr:rowOff>
    </xdr:from>
    <xdr:ext cx="17994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BE97B897-FA7D-445E-B0BB-BAEAFE5DE815}"/>
                </a:ext>
              </a:extLst>
            </xdr:cNvPr>
            <xdr:cNvSpPr txBox="1"/>
          </xdr:nvSpPr>
          <xdr:spPr>
            <a:xfrm>
              <a:off x="16910538" y="4202724"/>
              <a:ext cx="17994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i="1">
                      <a:latin typeface="Cambria Math" panose="02040503050406030204" pitchFamily="18" charset="0"/>
                    </a:rPr>
                    <m:t>𝐴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de-DE" sz="1100"/>
                <a:t>B² - b² </a:t>
              </a:r>
            </a:p>
          </xdr:txBody>
        </xdr:sp>
      </mc:Choice>
      <mc:Fallback xmlns="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BE97B897-FA7D-445E-B0BB-BAEAFE5DE815}"/>
                </a:ext>
              </a:extLst>
            </xdr:cNvPr>
            <xdr:cNvSpPr txBox="1"/>
          </xdr:nvSpPr>
          <xdr:spPr>
            <a:xfrm>
              <a:off x="16910538" y="4202724"/>
              <a:ext cx="17994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𝐴=</a:t>
              </a:r>
              <a:r>
                <a:rPr lang="de-DE" sz="1100"/>
                <a:t>B² - b² </a:t>
              </a:r>
            </a:p>
          </xdr:txBody>
        </xdr:sp>
      </mc:Fallback>
    </mc:AlternateContent>
    <xdr:clientData/>
  </xdr:oneCellAnchor>
  <xdr:oneCellAnchor>
    <xdr:from>
      <xdr:col>16</xdr:col>
      <xdr:colOff>140677</xdr:colOff>
      <xdr:row>12</xdr:row>
      <xdr:rowOff>252046</xdr:rowOff>
    </xdr:from>
    <xdr:ext cx="17994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BFA0AEE7-D386-4E78-B709-5FFD7F9E10B0}"/>
                </a:ext>
              </a:extLst>
            </xdr:cNvPr>
            <xdr:cNvSpPr txBox="1"/>
          </xdr:nvSpPr>
          <xdr:spPr>
            <a:xfrm>
              <a:off x="16910539" y="5122984"/>
              <a:ext cx="17994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i="1">
                      <a:latin typeface="Cambria Math" panose="02040503050406030204" pitchFamily="18" charset="0"/>
                    </a:rPr>
                    <m:t>𝐴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𝐻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·</m:t>
                  </m:r>
                </m:oMath>
              </a14:m>
              <a:r>
                <a:rPr lang="de-DE" sz="1100"/>
                <a:t> B - h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 </m:t>
                  </m:r>
                </m:oMath>
              </a14:m>
              <a:r>
                <a:rPr lang="de-DE" sz="1100"/>
                <a:t>b </a:t>
              </a:r>
            </a:p>
          </xdr:txBody>
        </xdr:sp>
      </mc:Choice>
      <mc:Fallback xmlns=""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BFA0AEE7-D386-4E78-B709-5FFD7F9E10B0}"/>
                </a:ext>
              </a:extLst>
            </xdr:cNvPr>
            <xdr:cNvSpPr txBox="1"/>
          </xdr:nvSpPr>
          <xdr:spPr>
            <a:xfrm>
              <a:off x="16910539" y="5122984"/>
              <a:ext cx="17994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𝐴=</a:t>
              </a:r>
              <a:r>
                <a:rPr lang="de-DE" sz="1100" b="0" i="0">
                  <a:latin typeface="Cambria Math" panose="02040503050406030204" pitchFamily="18" charset="0"/>
                </a:rPr>
                <a:t>𝐻·</a:t>
              </a:r>
              <a:r>
                <a:rPr lang="de-DE" sz="1100"/>
                <a:t> B - h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/>
                <a:t>b </a:t>
              </a:r>
            </a:p>
          </xdr:txBody>
        </xdr:sp>
      </mc:Fallback>
    </mc:AlternateContent>
    <xdr:clientData/>
  </xdr:oneCellAnchor>
  <xdr:oneCellAnchor>
    <xdr:from>
      <xdr:col>14</xdr:col>
      <xdr:colOff>199292</xdr:colOff>
      <xdr:row>8</xdr:row>
      <xdr:rowOff>23446</xdr:rowOff>
    </xdr:from>
    <xdr:ext cx="709361" cy="3372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5408EB61-500D-4737-8BA6-181DEBA09EB3}"/>
                </a:ext>
              </a:extLst>
            </xdr:cNvPr>
            <xdr:cNvSpPr txBox="1"/>
          </xdr:nvSpPr>
          <xdr:spPr>
            <a:xfrm>
              <a:off x="14214230" y="2983523"/>
              <a:ext cx="709361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5408EB61-500D-4737-8BA6-181DEBA09EB3}"/>
                </a:ext>
              </a:extLst>
            </xdr:cNvPr>
            <xdr:cNvSpPr txBox="1"/>
          </xdr:nvSpPr>
          <xdr:spPr>
            <a:xfrm>
              <a:off x="14214230" y="2983523"/>
              <a:ext cx="709361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𝐵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𝐻³)/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14</xdr:col>
      <xdr:colOff>193431</xdr:colOff>
      <xdr:row>8</xdr:row>
      <xdr:rowOff>480646</xdr:rowOff>
    </xdr:from>
    <xdr:ext cx="723916" cy="3372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3E78ADC1-B134-4707-83D5-61AEE70E9C97}"/>
                </a:ext>
              </a:extLst>
            </xdr:cNvPr>
            <xdr:cNvSpPr txBox="1"/>
          </xdr:nvSpPr>
          <xdr:spPr>
            <a:xfrm>
              <a:off x="14208369" y="3440723"/>
              <a:ext cx="723916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𝑍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𝐻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³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12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3E78ADC1-B134-4707-83D5-61AEE70E9C97}"/>
                </a:ext>
              </a:extLst>
            </xdr:cNvPr>
            <xdr:cNvSpPr txBox="1"/>
          </xdr:nvSpPr>
          <xdr:spPr>
            <a:xfrm>
              <a:off x="14208369" y="3440723"/>
              <a:ext cx="723916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𝑍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𝐻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𝐵³)/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12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257908</xdr:colOff>
      <xdr:row>8</xdr:row>
      <xdr:rowOff>35169</xdr:rowOff>
    </xdr:from>
    <xdr:ext cx="789832" cy="3372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B16AB7AF-97B9-4D5D-8930-1702DA82403F}"/>
                </a:ext>
              </a:extLst>
            </xdr:cNvPr>
            <xdr:cNvSpPr txBox="1"/>
          </xdr:nvSpPr>
          <xdr:spPr>
            <a:xfrm>
              <a:off x="15626862" y="2995246"/>
              <a:ext cx="789832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𝐻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²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B16AB7AF-97B9-4D5D-8930-1702DA82403F}"/>
                </a:ext>
              </a:extLst>
            </xdr:cNvPr>
            <xdr:cNvSpPr txBox="1"/>
          </xdr:nvSpPr>
          <xdr:spPr>
            <a:xfrm>
              <a:off x="15626862" y="2995246"/>
              <a:ext cx="789832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𝐵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𝐻²)/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252046</xdr:colOff>
      <xdr:row>8</xdr:row>
      <xdr:rowOff>492369</xdr:rowOff>
    </xdr:from>
    <xdr:ext cx="794256" cy="3372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E61A997-8806-40AD-94B7-4AAA78A31DC9}"/>
                </a:ext>
              </a:extLst>
            </xdr:cNvPr>
            <xdr:cNvSpPr txBox="1"/>
          </xdr:nvSpPr>
          <xdr:spPr>
            <a:xfrm>
              <a:off x="15621000" y="3452446"/>
              <a:ext cx="794256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𝑍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𝐻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²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E61A997-8806-40AD-94B7-4AAA78A31DC9}"/>
                </a:ext>
              </a:extLst>
            </xdr:cNvPr>
            <xdr:cNvSpPr txBox="1"/>
          </xdr:nvSpPr>
          <xdr:spPr>
            <a:xfrm>
              <a:off x="15621000" y="3452446"/>
              <a:ext cx="794256" cy="3372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𝑍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𝐻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𝐵²)/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14</xdr:col>
      <xdr:colOff>82061</xdr:colOff>
      <xdr:row>14</xdr:row>
      <xdr:rowOff>164124</xdr:rowOff>
    </xdr:from>
    <xdr:ext cx="1417311" cy="322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600D5F90-6E26-45DE-B40C-F3DD59E3A7D5}"/>
                </a:ext>
              </a:extLst>
            </xdr:cNvPr>
            <xdr:cNvSpPr txBox="1"/>
          </xdr:nvSpPr>
          <xdr:spPr>
            <a:xfrm>
              <a:off x="14096999" y="6142893"/>
              <a:ext cx="1417311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𝐼𝑧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∙(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𝐷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𝑑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)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6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600D5F90-6E26-45DE-B40C-F3DD59E3A7D5}"/>
                </a:ext>
              </a:extLst>
            </xdr:cNvPr>
            <xdr:cNvSpPr txBox="1"/>
          </xdr:nvSpPr>
          <xdr:spPr>
            <a:xfrm>
              <a:off x="14096999" y="6142893"/>
              <a:ext cx="1417311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=𝐼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∙(𝐷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−𝑑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)/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6</a:t>
              </a:r>
              <a:r>
                <a:rPr lang="de-DE" sz="1100" b="0" i="0">
                  <a:latin typeface="Cambria Math" panose="02040503050406030204" pitchFamily="18" charset="0"/>
                </a:rPr>
                <a:t>4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15</xdr:col>
      <xdr:colOff>35170</xdr:colOff>
      <xdr:row>14</xdr:row>
      <xdr:rowOff>140677</xdr:rowOff>
    </xdr:from>
    <xdr:ext cx="1574277" cy="3224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B5DE1295-006A-44EA-B9F0-AF197086C7B7}"/>
                </a:ext>
              </a:extLst>
            </xdr:cNvPr>
            <xdr:cNvSpPr txBox="1"/>
          </xdr:nvSpPr>
          <xdr:spPr>
            <a:xfrm>
              <a:off x="15591693" y="6119446"/>
              <a:ext cx="1574277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1" baseline="0">
                        <a:latin typeface="Cambria Math" panose="02040503050406030204" pitchFamily="18" charset="0"/>
                      </a:rPr>
                      <m:t>W</m:t>
                    </m:r>
                    <m:r>
                      <a:rPr lang="de-DE" sz="1100" b="0" i="1" baseline="-25000">
                        <a:latin typeface="Cambria Math" panose="02040503050406030204" pitchFamily="18" charset="0"/>
                      </a:rPr>
                      <m:t>𝑦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𝑊𝑧</m:t>
                    </m:r>
                    <m:r>
                      <a:rPr lang="de-DE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l-GR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π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∙(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𝐷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−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𝑑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4</m:t>
                        </m:r>
                        <m:r>
                          <a:rPr lang="de-DE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)</m:t>
                        </m:r>
                        <m:r>
                          <a:rPr lang="de-DE" sz="1100" b="0" i="1" baseline="30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32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∙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B5DE1295-006A-44EA-B9F0-AF197086C7B7}"/>
                </a:ext>
              </a:extLst>
            </xdr:cNvPr>
            <xdr:cNvSpPr txBox="1"/>
          </xdr:nvSpPr>
          <xdr:spPr>
            <a:xfrm>
              <a:off x="15591693" y="6119446"/>
              <a:ext cx="1574277" cy="3224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 baseline="0">
                  <a:latin typeface="Cambria Math" panose="02040503050406030204" pitchFamily="18" charset="0"/>
                </a:rPr>
                <a:t>W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𝑦</a:t>
              </a:r>
              <a:r>
                <a:rPr lang="de-DE" sz="1100" b="0" i="0">
                  <a:latin typeface="Cambria Math" panose="02040503050406030204" pitchFamily="18" charset="0"/>
                </a:rPr>
                <a:t>=𝑊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𝑧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el-GR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π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∙(𝐷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−𝑑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4</a:t>
              </a:r>
              <a:r>
                <a:rPr lang="de-DE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de-DE" sz="1100" b="0" i="0" baseline="30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)/(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32</a:t>
              </a:r>
              <a:r>
                <a:rPr lang="de-DE" sz="1100" b="0" i="0">
                  <a:latin typeface="Cambria Math" panose="02040503050406030204" pitchFamily="18" charset="0"/>
                </a:rPr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∙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14</xdr:col>
      <xdr:colOff>62753</xdr:colOff>
      <xdr:row>18</xdr:row>
      <xdr:rowOff>161366</xdr:rowOff>
    </xdr:from>
    <xdr:ext cx="1799493" cy="6889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>
              <a:extLst>
                <a:ext uri="{FF2B5EF4-FFF2-40B4-BE49-F238E27FC236}">
                  <a16:creationId xmlns:a16="http://schemas.microsoft.com/office/drawing/2014/main" id="{1719B2AF-D90E-4E06-A4A6-53DB1D9F2F3D}"/>
                </a:ext>
              </a:extLst>
            </xdr:cNvPr>
            <xdr:cNvSpPr txBox="1"/>
          </xdr:nvSpPr>
          <xdr:spPr>
            <a:xfrm>
              <a:off x="13841506" y="7530354"/>
              <a:ext cx="1799493" cy="6889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𝐼𝑔𝑒𝑠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2 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·[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𝐼𝑦𝑒𝑝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·</m:t>
                  </m:r>
                </m:oMath>
              </a14:m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A</m:t>
                  </m:r>
                  <m:r>
                    <m:rPr>
                      <m:sty m:val="p"/>
                    </m:rPr>
                    <a:rPr lang="de-DE" sz="1100" b="0" i="0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ep</m:t>
                  </m:r>
                </m:oMath>
              </a14:m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</m:t>
                  </m:r>
                  <m:r>
                    <a:rPr lang="de-DE" sz="1100" b="0" i="1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𝑦𝑒𝑝</m:t>
                  </m:r>
                </m:oMath>
              </a14:m>
              <a:r>
                <a:rPr lang="de-DE" sz="1100" baseline="0"/>
                <a:t> = Flächenmoment Einzelprofil </a:t>
              </a:r>
            </a:p>
          </xdr:txBody>
        </xdr:sp>
      </mc:Choice>
      <mc:Fallback xmlns="">
        <xdr:sp macro="" textlink="">
          <xdr:nvSpPr>
            <xdr:cNvPr id="54" name="Textfeld 53">
              <a:extLst>
                <a:ext uri="{FF2B5EF4-FFF2-40B4-BE49-F238E27FC236}">
                  <a16:creationId xmlns:a16="http://schemas.microsoft.com/office/drawing/2014/main" id="{1719B2AF-D90E-4E06-A4A6-53DB1D9F2F3D}"/>
                </a:ext>
              </a:extLst>
            </xdr:cNvPr>
            <xdr:cNvSpPr txBox="1"/>
          </xdr:nvSpPr>
          <xdr:spPr>
            <a:xfrm>
              <a:off x="13841506" y="7530354"/>
              <a:ext cx="1799493" cy="6889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𝐼𝑔𝑒𝑠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2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[𝐼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𝑦𝑒𝑝</a:t>
              </a:r>
              <a:r>
                <a:rPr lang="de-DE" sz="1100" b="0" i="0">
                  <a:latin typeface="Cambria Math" panose="02040503050406030204" pitchFamily="18" charset="0"/>
                </a:rPr>
                <a:t>·</a:t>
              </a:r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ep</a:t>
              </a:r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𝑦𝑒𝑝</a:t>
              </a:r>
              <a:r>
                <a:rPr lang="de-DE" sz="1100" baseline="0"/>
                <a:t> = Flächenmoment Einzelprofil </a:t>
              </a:r>
            </a:p>
          </xdr:txBody>
        </xdr:sp>
      </mc:Fallback>
    </mc:AlternateContent>
    <xdr:clientData/>
  </xdr:oneCellAnchor>
  <xdr:twoCellAnchor editAs="oneCell">
    <xdr:from>
      <xdr:col>12</xdr:col>
      <xdr:colOff>122771</xdr:colOff>
      <xdr:row>16</xdr:row>
      <xdr:rowOff>44822</xdr:rowOff>
    </xdr:from>
    <xdr:to>
      <xdr:col>13</xdr:col>
      <xdr:colOff>570774</xdr:colOff>
      <xdr:row>22</xdr:row>
      <xdr:rowOff>377333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id="{333CFE75-D48E-41C0-B068-BAE8A92F2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44442" y="6822140"/>
          <a:ext cx="1389297" cy="2079284"/>
        </a:xfrm>
        <a:prstGeom prst="rect">
          <a:avLst/>
        </a:prstGeom>
      </xdr:spPr>
    </xdr:pic>
    <xdr:clientData/>
  </xdr:twoCellAnchor>
  <xdr:oneCellAnchor>
    <xdr:from>
      <xdr:col>15</xdr:col>
      <xdr:colOff>206187</xdr:colOff>
      <xdr:row>18</xdr:row>
      <xdr:rowOff>107578</xdr:rowOff>
    </xdr:from>
    <xdr:ext cx="1201271" cy="3457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>
              <a:extLst>
                <a:ext uri="{FF2B5EF4-FFF2-40B4-BE49-F238E27FC236}">
                  <a16:creationId xmlns:a16="http://schemas.microsoft.com/office/drawing/2014/main" id="{E94563EC-EF8C-4796-B8CF-95FF1F615206}"/>
                </a:ext>
              </a:extLst>
            </xdr:cNvPr>
            <xdr:cNvSpPr txBox="1"/>
          </xdr:nvSpPr>
          <xdr:spPr>
            <a:xfrm>
              <a:off x="15715128" y="7476566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200" b="0" i="1" strike="noStrike" baseline="-25000">
                        <a:latin typeface="Cambria Math" panose="02040503050406030204" pitchFamily="18" charset="0"/>
                      </a:rPr>
                      <m:t>𝑔𝑒𝑠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𝐼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𝑔𝑒𝑠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𝑒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56" name="Textfeld 55">
              <a:extLst>
                <a:ext uri="{FF2B5EF4-FFF2-40B4-BE49-F238E27FC236}">
                  <a16:creationId xmlns:a16="http://schemas.microsoft.com/office/drawing/2014/main" id="{E94563EC-EF8C-4796-B8CF-95FF1F615206}"/>
                </a:ext>
              </a:extLst>
            </xdr:cNvPr>
            <xdr:cNvSpPr txBox="1"/>
          </xdr:nvSpPr>
          <xdr:spPr>
            <a:xfrm>
              <a:off x="15715128" y="7476566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𝑊</a:t>
              </a:r>
              <a:r>
                <a:rPr lang="de-DE" sz="1200" b="0" i="0" strike="noStrike" baseline="-25000">
                  <a:latin typeface="Cambria Math" panose="02040503050406030204" pitchFamily="18" charset="0"/>
                </a:rPr>
                <a:t>𝑔𝑒𝑠</a:t>
              </a:r>
              <a:r>
                <a:rPr lang="de-DE" sz="1200" b="0" i="0">
                  <a:latin typeface="Cambria Math" panose="02040503050406030204" pitchFamily="18" charset="0"/>
                </a:rPr>
                <a:t>=</a:t>
              </a:r>
              <a:r>
                <a:rPr lang="de-DE" sz="1200" i="0">
                  <a:latin typeface="Cambria Math" panose="02040503050406030204" pitchFamily="18" charset="0"/>
                </a:rPr>
                <a:t>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𝐼 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𝑔𝑒𝑠)/(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𝑒 )</a:t>
              </a:r>
              <a:endParaRPr lang="de-DE" sz="1200"/>
            </a:p>
          </xdr:txBody>
        </xdr:sp>
      </mc:Fallback>
    </mc:AlternateContent>
    <xdr:clientData/>
  </xdr:oneCellAnchor>
  <xdr:twoCellAnchor editAs="oneCell">
    <xdr:from>
      <xdr:col>12</xdr:col>
      <xdr:colOff>39574</xdr:colOff>
      <xdr:row>24</xdr:row>
      <xdr:rowOff>143437</xdr:rowOff>
    </xdr:from>
    <xdr:to>
      <xdr:col>13</xdr:col>
      <xdr:colOff>804780</xdr:colOff>
      <xdr:row>30</xdr:row>
      <xdr:rowOff>170556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id="{8495A1C1-1E89-4CE6-9F5A-77BC92E43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61245" y="9233649"/>
          <a:ext cx="1706500" cy="1766272"/>
        </a:xfrm>
        <a:prstGeom prst="rect">
          <a:avLst/>
        </a:prstGeom>
      </xdr:spPr>
    </xdr:pic>
    <xdr:clientData/>
  </xdr:twoCellAnchor>
  <xdr:twoCellAnchor editAs="oneCell">
    <xdr:from>
      <xdr:col>12</xdr:col>
      <xdr:colOff>23535</xdr:colOff>
      <xdr:row>32</xdr:row>
      <xdr:rowOff>179293</xdr:rowOff>
    </xdr:from>
    <xdr:to>
      <xdr:col>13</xdr:col>
      <xdr:colOff>800211</xdr:colOff>
      <xdr:row>37</xdr:row>
      <xdr:rowOff>82176</xdr:rowOff>
    </xdr:to>
    <xdr:pic>
      <xdr:nvPicPr>
        <xdr:cNvPr id="58" name="Grafik 57">
          <a:extLst>
            <a:ext uri="{FF2B5EF4-FFF2-40B4-BE49-F238E27FC236}">
              <a16:creationId xmlns:a16="http://schemas.microsoft.com/office/drawing/2014/main" id="{08FDA6D5-49F4-497B-8A51-E96F054CF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045206" y="11582399"/>
          <a:ext cx="1717970" cy="1550895"/>
        </a:xfrm>
        <a:prstGeom prst="rect">
          <a:avLst/>
        </a:prstGeom>
      </xdr:spPr>
    </xdr:pic>
    <xdr:clientData/>
  </xdr:twoCellAnchor>
  <xdr:oneCellAnchor>
    <xdr:from>
      <xdr:col>14</xdr:col>
      <xdr:colOff>98611</xdr:colOff>
      <xdr:row>26</xdr:row>
      <xdr:rowOff>35860</xdr:rowOff>
    </xdr:from>
    <xdr:ext cx="1799493" cy="6889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feld 58">
              <a:extLst>
                <a:ext uri="{FF2B5EF4-FFF2-40B4-BE49-F238E27FC236}">
                  <a16:creationId xmlns:a16="http://schemas.microsoft.com/office/drawing/2014/main" id="{10E3199B-4666-4789-9FBA-9A4085D022CF}"/>
                </a:ext>
              </a:extLst>
            </xdr:cNvPr>
            <xdr:cNvSpPr txBox="1"/>
          </xdr:nvSpPr>
          <xdr:spPr>
            <a:xfrm>
              <a:off x="13877364" y="9717742"/>
              <a:ext cx="1799493" cy="6889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𝐼𝑔𝑒𝑠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4 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·[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𝐼𝑦𝑒𝑝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·</m:t>
                  </m:r>
                </m:oMath>
              </a14:m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A</m:t>
                  </m:r>
                  <m:r>
                    <m:rPr>
                      <m:sty m:val="p"/>
                    </m:rPr>
                    <a:rPr lang="de-DE" sz="1100" b="0" i="0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ep</m:t>
                  </m:r>
                </m:oMath>
              </a14:m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</m:t>
                  </m:r>
                  <m:r>
                    <a:rPr lang="de-DE" sz="1100" b="0" i="1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𝑦𝑒𝑝</m:t>
                  </m:r>
                </m:oMath>
              </a14:m>
              <a:r>
                <a:rPr lang="de-DE" sz="1100" baseline="0"/>
                <a:t> = Flächenmoment Einzelprofil </a:t>
              </a:r>
            </a:p>
          </xdr:txBody>
        </xdr:sp>
      </mc:Choice>
      <mc:Fallback xmlns="">
        <xdr:sp macro="" textlink="">
          <xdr:nvSpPr>
            <xdr:cNvPr id="59" name="Textfeld 58">
              <a:extLst>
                <a:ext uri="{FF2B5EF4-FFF2-40B4-BE49-F238E27FC236}">
                  <a16:creationId xmlns:a16="http://schemas.microsoft.com/office/drawing/2014/main" id="{10E3199B-4666-4789-9FBA-9A4085D022CF}"/>
                </a:ext>
              </a:extLst>
            </xdr:cNvPr>
            <xdr:cNvSpPr txBox="1"/>
          </xdr:nvSpPr>
          <xdr:spPr>
            <a:xfrm>
              <a:off x="13877364" y="9717742"/>
              <a:ext cx="1799493" cy="6889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𝐼𝑔𝑒𝑠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4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[𝐼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𝑦𝑒𝑝</a:t>
              </a:r>
              <a:r>
                <a:rPr lang="de-DE" sz="1100" b="0" i="0">
                  <a:latin typeface="Cambria Math" panose="02040503050406030204" pitchFamily="18" charset="0"/>
                </a:rPr>
                <a:t>·</a:t>
              </a:r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ep</a:t>
              </a:r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𝐼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𝑦𝑒𝑝</a:t>
              </a:r>
              <a:r>
                <a:rPr lang="de-DE" sz="1100" baseline="0"/>
                <a:t> = Flächenmoment Einzelprofil </a:t>
              </a:r>
            </a:p>
          </xdr:txBody>
        </xdr:sp>
      </mc:Fallback>
    </mc:AlternateContent>
    <xdr:clientData/>
  </xdr:oneCellAnchor>
  <xdr:oneCellAnchor>
    <xdr:from>
      <xdr:col>15</xdr:col>
      <xdr:colOff>170329</xdr:colOff>
      <xdr:row>25</xdr:row>
      <xdr:rowOff>134471</xdr:rowOff>
    </xdr:from>
    <xdr:ext cx="1201271" cy="3457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0" name="Textfeld 59">
              <a:extLst>
                <a:ext uri="{FF2B5EF4-FFF2-40B4-BE49-F238E27FC236}">
                  <a16:creationId xmlns:a16="http://schemas.microsoft.com/office/drawing/2014/main" id="{E4891B51-8EB4-4112-943B-674C8DA24B83}"/>
                </a:ext>
              </a:extLst>
            </xdr:cNvPr>
            <xdr:cNvSpPr txBox="1"/>
          </xdr:nvSpPr>
          <xdr:spPr>
            <a:xfrm>
              <a:off x="15679270" y="9628095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200" b="0" i="1" strike="noStrike" baseline="-25000">
                        <a:latin typeface="Cambria Math" panose="02040503050406030204" pitchFamily="18" charset="0"/>
                      </a:rPr>
                      <m:t>𝑔𝑒𝑠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𝐼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𝑔𝑒𝑠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𝑒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60" name="Textfeld 59">
              <a:extLst>
                <a:ext uri="{FF2B5EF4-FFF2-40B4-BE49-F238E27FC236}">
                  <a16:creationId xmlns:a16="http://schemas.microsoft.com/office/drawing/2014/main" id="{E4891B51-8EB4-4112-943B-674C8DA24B83}"/>
                </a:ext>
              </a:extLst>
            </xdr:cNvPr>
            <xdr:cNvSpPr txBox="1"/>
          </xdr:nvSpPr>
          <xdr:spPr>
            <a:xfrm>
              <a:off x="15679270" y="9628095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𝑊</a:t>
              </a:r>
              <a:r>
                <a:rPr lang="de-DE" sz="1200" b="0" i="0" strike="noStrike" baseline="-25000">
                  <a:latin typeface="Cambria Math" panose="02040503050406030204" pitchFamily="18" charset="0"/>
                </a:rPr>
                <a:t>𝑔𝑒𝑠</a:t>
              </a:r>
              <a:r>
                <a:rPr lang="de-DE" sz="1200" b="0" i="0">
                  <a:latin typeface="Cambria Math" panose="02040503050406030204" pitchFamily="18" charset="0"/>
                </a:rPr>
                <a:t>=</a:t>
              </a:r>
              <a:r>
                <a:rPr lang="de-DE" sz="1200" i="0">
                  <a:latin typeface="Cambria Math" panose="02040503050406030204" pitchFamily="18" charset="0"/>
                </a:rPr>
                <a:t>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𝐼 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𝑔𝑒𝑠)/(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𝑒 )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15</xdr:col>
      <xdr:colOff>170330</xdr:colOff>
      <xdr:row>34</xdr:row>
      <xdr:rowOff>170330</xdr:rowOff>
    </xdr:from>
    <xdr:ext cx="1201271" cy="3457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feld 61">
              <a:extLst>
                <a:ext uri="{FF2B5EF4-FFF2-40B4-BE49-F238E27FC236}">
                  <a16:creationId xmlns:a16="http://schemas.microsoft.com/office/drawing/2014/main" id="{FE1CAB6B-370E-427E-8E31-CC9586756512}"/>
                </a:ext>
              </a:extLst>
            </xdr:cNvPr>
            <xdr:cNvSpPr txBox="1"/>
          </xdr:nvSpPr>
          <xdr:spPr>
            <a:xfrm>
              <a:off x="15679271" y="12165106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 panose="02040503050406030204" pitchFamily="18" charset="0"/>
                      </a:rPr>
                      <m:t>𝑊</m:t>
                    </m:r>
                    <m:r>
                      <a:rPr lang="de-DE" sz="1200" b="0" i="1" strike="noStrike" baseline="-25000">
                        <a:latin typeface="Cambria Math" panose="02040503050406030204" pitchFamily="18" charset="0"/>
                      </a:rPr>
                      <m:t>𝑔𝑒𝑠</m:t>
                    </m:r>
                    <m:r>
                      <a:rPr lang="de-DE" sz="12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𝐼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𝑔𝑒𝑠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𝑒</m:t>
                        </m:r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DE" sz="1200"/>
            </a:p>
          </xdr:txBody>
        </xdr:sp>
      </mc:Choice>
      <mc:Fallback xmlns="">
        <xdr:sp macro="" textlink="">
          <xdr:nvSpPr>
            <xdr:cNvPr id="62" name="Textfeld 61">
              <a:extLst>
                <a:ext uri="{FF2B5EF4-FFF2-40B4-BE49-F238E27FC236}">
                  <a16:creationId xmlns:a16="http://schemas.microsoft.com/office/drawing/2014/main" id="{FE1CAB6B-370E-427E-8E31-CC9586756512}"/>
                </a:ext>
              </a:extLst>
            </xdr:cNvPr>
            <xdr:cNvSpPr txBox="1"/>
          </xdr:nvSpPr>
          <xdr:spPr>
            <a:xfrm>
              <a:off x="15679271" y="12165106"/>
              <a:ext cx="1201271" cy="3457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𝑊</a:t>
              </a:r>
              <a:r>
                <a:rPr lang="de-DE" sz="1200" b="0" i="0" strike="noStrike" baseline="-25000">
                  <a:latin typeface="Cambria Math" panose="02040503050406030204" pitchFamily="18" charset="0"/>
                </a:rPr>
                <a:t>𝑔𝑒𝑠</a:t>
              </a:r>
              <a:r>
                <a:rPr lang="de-DE" sz="1200" b="0" i="0">
                  <a:latin typeface="Cambria Math" panose="02040503050406030204" pitchFamily="18" charset="0"/>
                </a:rPr>
                <a:t>=</a:t>
              </a:r>
              <a:r>
                <a:rPr lang="de-DE" sz="1200" i="0">
                  <a:latin typeface="Cambria Math" panose="02040503050406030204" pitchFamily="18" charset="0"/>
                </a:rPr>
                <a:t>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𝐼 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𝑔𝑒𝑠)/(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𝑒 )</a:t>
              </a:r>
              <a:endParaRPr lang="de-DE" sz="1200"/>
            </a:p>
          </xdr:txBody>
        </xdr:sp>
      </mc:Fallback>
    </mc:AlternateContent>
    <xdr:clientData/>
  </xdr:oneCellAnchor>
  <xdr:oneCellAnchor>
    <xdr:from>
      <xdr:col>14</xdr:col>
      <xdr:colOff>62753</xdr:colOff>
      <xdr:row>32</xdr:row>
      <xdr:rowOff>170331</xdr:rowOff>
    </xdr:from>
    <xdr:ext cx="1799493" cy="13778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feld 63">
              <a:extLst>
                <a:ext uri="{FF2B5EF4-FFF2-40B4-BE49-F238E27FC236}">
                  <a16:creationId xmlns:a16="http://schemas.microsoft.com/office/drawing/2014/main" id="{241A879B-56B4-40E2-AB70-E226E1F97406}"/>
                </a:ext>
              </a:extLst>
            </xdr:cNvPr>
            <xdr:cNvSpPr txBox="1"/>
          </xdr:nvSpPr>
          <xdr:spPr>
            <a:xfrm>
              <a:off x="14085047" y="11929037"/>
              <a:ext cx="1799493" cy="13778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𝐼𝑔𝑒𝑠</m:t>
                  </m:r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3 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·[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𝐼𝑦𝑒𝑝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·</m:t>
                  </m:r>
                </m:oMath>
              </a14:m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·</m:t>
                  </m:r>
                  <m:r>
                    <m:rPr>
                      <m:sty m:val="p"/>
                    </m:rP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A</m:t>
                  </m:r>
                  <m:r>
                    <m:rPr>
                      <m:sty m:val="p"/>
                    </m:rPr>
                    <a:rPr lang="de-DE" sz="1100" b="0" i="0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ep</m:t>
                  </m:r>
                </m:oMath>
              </a14:m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14:m>
                <m:oMath xmlns:m="http://schemas.openxmlformats.org/officeDocument/2006/math"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𝐼</m:t>
                  </m:r>
                  <m:r>
                    <a:rPr lang="de-DE" sz="1100" b="0" i="1" baseline="-2500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𝑦𝑒𝑝</m:t>
                  </m:r>
                </m:oMath>
              </a14:m>
              <a:r>
                <a:rPr lang="de-DE" sz="1100" baseline="0"/>
                <a:t> = Flächenmoment Einzelprofil </a:t>
              </a:r>
            </a:p>
            <a:p>
              <a:endParaRPr lang="de-DE" sz="1100" baseline="0"/>
            </a:p>
            <a:p>
              <a:r>
                <a:rPr lang="de-DE" sz="1100" baseline="0"/>
                <a:t>Schwerpunkt errechnen:</a:t>
              </a:r>
            </a:p>
            <a:p>
              <a:endParaRPr lang="de-DE" sz="1100" baseline="0"/>
            </a:p>
            <a:p>
              <a:endParaRPr lang="de-DE" sz="1100" baseline="0"/>
            </a:p>
          </xdr:txBody>
        </xdr:sp>
      </mc:Choice>
      <mc:Fallback xmlns="">
        <xdr:sp macro="" textlink="">
          <xdr:nvSpPr>
            <xdr:cNvPr id="64" name="Textfeld 63">
              <a:extLst>
                <a:ext uri="{FF2B5EF4-FFF2-40B4-BE49-F238E27FC236}">
                  <a16:creationId xmlns:a16="http://schemas.microsoft.com/office/drawing/2014/main" id="{241A879B-56B4-40E2-AB70-E226E1F97406}"/>
                </a:ext>
              </a:extLst>
            </xdr:cNvPr>
            <xdr:cNvSpPr txBox="1"/>
          </xdr:nvSpPr>
          <xdr:spPr>
            <a:xfrm>
              <a:off x="14085047" y="11929037"/>
              <a:ext cx="1799493" cy="13778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𝐼𝑔𝑒𝑠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3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·[𝐼𝑦𝑒𝑝</a:t>
              </a:r>
              <a:r>
                <a:rPr lang="de-DE" sz="1100" b="0" i="0">
                  <a:latin typeface="Cambria Math" panose="02040503050406030204" pitchFamily="18" charset="0"/>
                </a:rPr>
                <a:t>·</a:t>
              </a:r>
              <a:r>
                <a:rPr lang="de-DE" sz="1100"/>
                <a:t> (a</a:t>
              </a:r>
              <a:r>
                <a:rPr lang="de-DE" sz="1100" baseline="-25000"/>
                <a:t>s</a:t>
              </a:r>
              <a:r>
                <a:rPr lang="de-DE" sz="1100" baseline="0"/>
                <a:t>]²</a:t>
              </a:r>
              <a:r>
                <a:rPr lang="de-DE" sz="1100"/>
                <a:t>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·A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ep</a:t>
              </a:r>
              <a:r>
                <a:rPr lang="de-DE" sz="1100" baseline="0"/>
                <a:t>]</a:t>
              </a:r>
              <a:br>
                <a:rPr lang="de-DE" sz="1100" baseline="0"/>
              </a:br>
              <a:br>
                <a:rPr lang="de-DE" sz="1100" baseline="0"/>
              </a:br>
              <a:r>
                <a:rPr lang="de-DE" sz="1100" baseline="0"/>
                <a:t>mit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</a:t>
              </a:r>
              <a:r>
                <a:rPr lang="de-DE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𝑦𝑒𝑝</a:t>
              </a:r>
              <a:r>
                <a:rPr lang="de-DE" sz="1100" baseline="0"/>
                <a:t> = Flächenmoment Einzelprofil </a:t>
              </a:r>
            </a:p>
            <a:p>
              <a:endParaRPr lang="de-DE" sz="1100" baseline="0"/>
            </a:p>
            <a:p>
              <a:r>
                <a:rPr lang="de-DE" sz="1100" baseline="0"/>
                <a:t>Schwerpunkt errechnen:</a:t>
              </a:r>
            </a:p>
            <a:p>
              <a:endParaRPr lang="de-DE" sz="1100" baseline="0"/>
            </a:p>
            <a:p>
              <a:endParaRPr lang="de-DE" sz="1100" baseline="0"/>
            </a:p>
          </xdr:txBody>
        </xdr:sp>
      </mc:Fallback>
    </mc:AlternateContent>
    <xdr:clientData/>
  </xdr:oneCellAnchor>
  <xdr:twoCellAnchor editAs="oneCell">
    <xdr:from>
      <xdr:col>14</xdr:col>
      <xdr:colOff>74109</xdr:colOff>
      <xdr:row>35</xdr:row>
      <xdr:rowOff>155390</xdr:rowOff>
    </xdr:from>
    <xdr:to>
      <xdr:col>14</xdr:col>
      <xdr:colOff>995190</xdr:colOff>
      <xdr:row>37</xdr:row>
      <xdr:rowOff>134471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B0D2A4B-04A7-4815-80F9-F205CECEE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096403" y="12989861"/>
          <a:ext cx="921081" cy="554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7</xdr:row>
      <xdr:rowOff>144779</xdr:rowOff>
    </xdr:from>
    <xdr:to>
      <xdr:col>8</xdr:col>
      <xdr:colOff>304800</xdr:colOff>
      <xdr:row>71</xdr:row>
      <xdr:rowOff>76504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56464A1-427E-45D0-8CC4-7A9E5D3A0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1424939"/>
          <a:ext cx="7604760" cy="11636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C75E-9155-4EB0-8EF3-04CE4343A478}">
  <dimension ref="A1:R39"/>
  <sheetViews>
    <sheetView tabSelected="1" zoomScale="85" zoomScaleNormal="85" workbookViewId="0">
      <selection activeCell="A14" sqref="A14:K14"/>
    </sheetView>
  </sheetViews>
  <sheetFormatPr baseColWidth="10" defaultRowHeight="14.4" x14ac:dyDescent="0.3"/>
  <cols>
    <col min="1" max="1" width="16.44140625" customWidth="1"/>
    <col min="2" max="7" width="13.6640625" customWidth="1"/>
    <col min="8" max="8" width="12.33203125" customWidth="1"/>
    <col min="9" max="9" width="20" customWidth="1"/>
    <col min="10" max="10" width="15.33203125" customWidth="1"/>
    <col min="11" max="11" width="15.109375" customWidth="1"/>
    <col min="12" max="13" width="13.6640625" customWidth="1"/>
    <col min="14" max="14" width="11.77734375" customWidth="1"/>
    <col min="15" max="15" width="25.109375" customWidth="1"/>
    <col min="16" max="16" width="24.6640625" customWidth="1"/>
    <col min="17" max="17" width="18.33203125" customWidth="1"/>
  </cols>
  <sheetData>
    <row r="1" spans="1:18" ht="30" customHeight="1" thickBot="1" x14ac:dyDescent="0.35">
      <c r="A1" s="114" t="s">
        <v>43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</row>
    <row r="2" spans="1:18" ht="15" thickBo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8" ht="43.05" customHeight="1" thickBot="1" x14ac:dyDescent="0.35">
      <c r="A3" s="1" t="s">
        <v>0</v>
      </c>
      <c r="B3" s="2" t="s">
        <v>36</v>
      </c>
      <c r="C3" s="3" t="s">
        <v>37</v>
      </c>
      <c r="D3" s="3" t="s">
        <v>42</v>
      </c>
      <c r="E3" s="3" t="s">
        <v>39</v>
      </c>
      <c r="F3" s="4" t="s">
        <v>40</v>
      </c>
      <c r="G3" s="3" t="s">
        <v>1</v>
      </c>
      <c r="H3" s="5" t="s">
        <v>53</v>
      </c>
      <c r="I3" s="5" t="s">
        <v>54</v>
      </c>
      <c r="J3" s="5" t="s">
        <v>2</v>
      </c>
      <c r="K3" s="6" t="s">
        <v>3</v>
      </c>
      <c r="L3" s="7" t="s">
        <v>4</v>
      </c>
      <c r="M3" s="7" t="s">
        <v>5</v>
      </c>
      <c r="N3" s="124" t="s">
        <v>38</v>
      </c>
      <c r="O3" s="125"/>
      <c r="P3" s="125"/>
      <c r="Q3" s="126"/>
    </row>
    <row r="4" spans="1:18" ht="15" thickBot="1" x14ac:dyDescent="0.35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8"/>
      <c r="M4" s="9"/>
    </row>
    <row r="5" spans="1:18" ht="49.95" customHeight="1" thickBot="1" x14ac:dyDescent="0.35">
      <c r="A5" s="10" t="s">
        <v>6</v>
      </c>
      <c r="B5" s="11"/>
      <c r="C5" s="11"/>
      <c r="D5" s="11"/>
      <c r="E5" s="13">
        <v>10</v>
      </c>
      <c r="F5" s="11"/>
      <c r="G5" s="14">
        <f>(PI()*POWER(E5,2))/(4*100)</f>
        <v>0.78539816339744828</v>
      </c>
      <c r="H5" s="15">
        <f>((PI()*POWER(E5,3))/32)/1000</f>
        <v>9.8174770424681035E-2</v>
      </c>
      <c r="I5" s="16"/>
      <c r="J5" s="15">
        <f>((PI()*POWER(E5,4))/64)/10000</f>
        <v>4.9087385212340517E-2</v>
      </c>
      <c r="K5" s="17"/>
      <c r="L5" s="18">
        <f>((PI()*POWER((E5/2),2)*1000)/1000000000)*7850</f>
        <v>0.61653755826699697</v>
      </c>
      <c r="M5" s="26">
        <f>((PI()*POWER((E5/2),2)*1000)/1000000000)*2700</f>
        <v>0.21205750411731106</v>
      </c>
      <c r="N5" s="77"/>
      <c r="O5" s="78"/>
      <c r="P5" s="78"/>
      <c r="Q5" s="79"/>
    </row>
    <row r="6" spans="1:18" ht="15" thickBot="1" x14ac:dyDescent="0.35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8"/>
      <c r="M6" s="73"/>
      <c r="N6" s="76"/>
      <c r="O6" s="76"/>
      <c r="P6" s="76"/>
      <c r="Q6" s="76"/>
    </row>
    <row r="7" spans="1:18" ht="49.95" customHeight="1" thickBot="1" x14ac:dyDescent="0.35">
      <c r="A7" s="10" t="s">
        <v>7</v>
      </c>
      <c r="B7" s="13">
        <v>20</v>
      </c>
      <c r="C7" s="11"/>
      <c r="D7" s="11"/>
      <c r="E7" s="11"/>
      <c r="F7" s="11"/>
      <c r="G7" s="19">
        <f>POWER(B7,2)/100</f>
        <v>4</v>
      </c>
      <c r="H7" s="15">
        <f>(POWER(B7,3)/6)/1000</f>
        <v>1.3333333333333333</v>
      </c>
      <c r="I7" s="16"/>
      <c r="J7" s="15">
        <f>((POWER(B7,4)/12))/10000</f>
        <v>1.3333333333333335</v>
      </c>
      <c r="K7" s="17"/>
      <c r="L7" s="20">
        <f>(POWER(B7,2)*1000*7850)/1000000000</f>
        <v>3.14</v>
      </c>
      <c r="M7" s="26">
        <f>(POWER(B7,2)*1000*2700)/1000000000</f>
        <v>1.08</v>
      </c>
      <c r="N7" s="77"/>
      <c r="O7" s="78"/>
      <c r="P7" s="88"/>
      <c r="Q7" s="79"/>
    </row>
    <row r="8" spans="1:18" ht="15" thickBot="1" x14ac:dyDescent="0.35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8"/>
      <c r="M8" s="74"/>
      <c r="N8" s="82"/>
      <c r="O8" s="84"/>
      <c r="P8" s="84"/>
      <c r="Q8" s="83"/>
    </row>
    <row r="9" spans="1:18" ht="71.55" customHeight="1" thickBot="1" x14ac:dyDescent="0.35">
      <c r="A9" s="10" t="s">
        <v>8</v>
      </c>
      <c r="B9" s="13">
        <v>50</v>
      </c>
      <c r="C9" s="13">
        <v>3</v>
      </c>
      <c r="D9" s="11"/>
      <c r="E9" s="11"/>
      <c r="F9" s="11"/>
      <c r="G9" s="19">
        <f>C9*B9/100</f>
        <v>1.5</v>
      </c>
      <c r="H9" s="21">
        <f>(C9*POWER(B9,2)/6)/1000</f>
        <v>1.25</v>
      </c>
      <c r="I9" s="21">
        <f>(B9*POWER(C9,2)/6)/1000</f>
        <v>7.4999999999999997E-2</v>
      </c>
      <c r="J9" s="21">
        <f>(C9*POWER(B9,3)/12)/10000</f>
        <v>3.125</v>
      </c>
      <c r="K9" s="22">
        <f>(B9*POWER(C9,3)/12)/10000</f>
        <v>1.125E-2</v>
      </c>
      <c r="L9" s="18">
        <f>((B9*C9*1000)*7850)/1000000000</f>
        <v>1.1775</v>
      </c>
      <c r="M9" s="26">
        <f>((B9*C9*1000)*2700)/1000000000</f>
        <v>0.40500000000000003</v>
      </c>
      <c r="N9" s="77"/>
      <c r="O9" s="78"/>
      <c r="P9" s="78"/>
      <c r="Q9" s="79"/>
    </row>
    <row r="10" spans="1:18" ht="15" thickBot="1" x14ac:dyDescent="0.35">
      <c r="A10" s="12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8"/>
      <c r="M10" s="74"/>
      <c r="N10" s="82"/>
      <c r="O10" s="80"/>
      <c r="P10" s="85"/>
      <c r="Q10" s="80"/>
    </row>
    <row r="11" spans="1:18" ht="60" customHeight="1" thickBot="1" x14ac:dyDescent="0.35">
      <c r="A11" s="90" t="s">
        <v>9</v>
      </c>
      <c r="B11" s="12"/>
      <c r="C11" s="13">
        <v>30</v>
      </c>
      <c r="D11" s="23">
        <v>2</v>
      </c>
      <c r="E11" s="24"/>
      <c r="F11" s="24"/>
      <c r="G11" s="15">
        <f>(POWER(C11,2)-(POWER(C11-(2*D11),2)))/100</f>
        <v>2.2400000000000002</v>
      </c>
      <c r="H11" s="15">
        <f>(((C11*POWER(C11,3))-(C11-(2*D11))*(POWER(C11-(2*D11),3)))/(6*C11))/1000</f>
        <v>1.9612444444444446</v>
      </c>
      <c r="I11" s="16"/>
      <c r="J11" s="15">
        <f>(((C11*POWER(C11,3))-(C11-(2*D11))*(POWER(C11-(2*D11),3)))/12)/10000</f>
        <v>2.9418666666666669</v>
      </c>
      <c r="K11" s="17"/>
      <c r="L11" s="18">
        <f>((G11*100)*7850)/1000000</f>
        <v>1.7584000000000002</v>
      </c>
      <c r="M11" s="26">
        <f>((G11*100)*2700)/1000000</f>
        <v>0.60480000000000012</v>
      </c>
      <c r="N11" s="77"/>
      <c r="O11" s="78"/>
      <c r="P11" s="78"/>
      <c r="Q11" s="79"/>
    </row>
    <row r="12" spans="1:18" ht="15" thickBot="1" x14ac:dyDescent="0.3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8"/>
      <c r="M12" s="74"/>
      <c r="N12" s="86"/>
      <c r="O12" s="86"/>
      <c r="P12" s="86"/>
      <c r="Q12" s="87"/>
      <c r="R12" s="82"/>
    </row>
    <row r="13" spans="1:18" ht="60.75" customHeight="1" thickBot="1" x14ac:dyDescent="0.35">
      <c r="A13" s="90" t="s">
        <v>10</v>
      </c>
      <c r="B13" s="13">
        <v>30</v>
      </c>
      <c r="C13" s="25">
        <v>30</v>
      </c>
      <c r="D13" s="25">
        <v>2</v>
      </c>
      <c r="E13" s="24"/>
      <c r="F13" s="24"/>
      <c r="G13" s="15">
        <f>((C13*B13)-(C13-2*D13)*(B13-2*D13))/100</f>
        <v>2.2400000000000002</v>
      </c>
      <c r="H13" s="15">
        <f>((C13*POWER(B13,3))-((C13-(2*D13))*(POWER(B13-(2*D13),3))))/(6*B13)/1000</f>
        <v>1.9612444444444446</v>
      </c>
      <c r="I13" s="15">
        <f>((B13*POWER(C13,3))-((B13-(2*D13))*(POWER(C13-(2*D13),3))))/(6*C13)/1000</f>
        <v>1.9612444444444446</v>
      </c>
      <c r="J13" s="15">
        <f>((C13*POWER(B13,3))-((C13-(2*D13))*(POWER(B13-(2*D13),3))))/12/10000</f>
        <v>2.9418666666666669</v>
      </c>
      <c r="K13" s="26">
        <f>((B13*POWER(C13,3))-((B13-(2*D13))*(POWER(C13-(2*D13),3))))/12/10000</f>
        <v>2.9418666666666669</v>
      </c>
      <c r="L13" s="18">
        <f>((G13*100)*7850)/1000000</f>
        <v>1.7584000000000002</v>
      </c>
      <c r="M13" s="26">
        <f>((G13*100)*2700)/1000000</f>
        <v>0.60480000000000012</v>
      </c>
      <c r="N13" s="77"/>
      <c r="O13" s="78"/>
      <c r="P13" s="78"/>
      <c r="Q13" s="79"/>
    </row>
    <row r="14" spans="1:18" ht="15" thickBot="1" x14ac:dyDescent="0.35">
      <c r="A14" s="129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8"/>
      <c r="M14" s="73"/>
      <c r="N14" s="84"/>
      <c r="O14" s="84"/>
      <c r="P14" s="84"/>
      <c r="Q14" s="83"/>
    </row>
    <row r="15" spans="1:18" ht="49.95" customHeight="1" thickBot="1" x14ac:dyDescent="0.35">
      <c r="A15" s="91" t="s">
        <v>11</v>
      </c>
      <c r="B15" s="27"/>
      <c r="C15" s="28"/>
      <c r="D15" s="29">
        <v>2</v>
      </c>
      <c r="E15" s="29">
        <v>30</v>
      </c>
      <c r="F15" s="30">
        <f>E15-(2*D15)</f>
        <v>26</v>
      </c>
      <c r="G15" s="31">
        <f>(PI()/4)*(POWER(E15,2)-POWER(F15,2))/100</f>
        <v>1.7592918860102842</v>
      </c>
      <c r="H15" s="31">
        <f>(3.14 *(POWER(E15,4)-POWER(F15,4))/(32*E15))/1000</f>
        <v>1.1546826666666667</v>
      </c>
      <c r="I15" s="32"/>
      <c r="J15" s="31">
        <f>(PI()*(POWER(E15,4)-POWER(F15,4))/64)/10000</f>
        <v>1.7329025077201299</v>
      </c>
      <c r="K15" s="33"/>
      <c r="L15" s="34">
        <f>((G15*100)*7850)/1000000</f>
        <v>1.381044130518073</v>
      </c>
      <c r="M15" s="75">
        <f>((G15*100)*2700)/1000000</f>
        <v>0.47500880922277672</v>
      </c>
      <c r="N15" s="77"/>
      <c r="O15" s="78"/>
      <c r="P15" s="78"/>
      <c r="Q15" s="79"/>
    </row>
    <row r="16" spans="1:18" ht="38.549999999999997" customHeight="1" thickBot="1" x14ac:dyDescent="0.35">
      <c r="A16" s="131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N16" s="81"/>
      <c r="O16" s="81"/>
      <c r="P16" s="81"/>
      <c r="Q16" s="81"/>
    </row>
    <row r="17" spans="1:17" ht="31.8" thickBot="1" x14ac:dyDescent="0.35">
      <c r="A17" s="35" t="s">
        <v>41</v>
      </c>
      <c r="B17" s="36" t="s">
        <v>12</v>
      </c>
      <c r="C17" s="133" t="s">
        <v>64</v>
      </c>
      <c r="D17" s="133"/>
      <c r="E17" s="133"/>
      <c r="F17" s="133" t="s">
        <v>65</v>
      </c>
      <c r="G17" s="133"/>
      <c r="H17" s="134"/>
      <c r="I17" s="37" t="s">
        <v>56</v>
      </c>
      <c r="J17" s="38" t="s">
        <v>52</v>
      </c>
      <c r="M17" s="135"/>
      <c r="N17" s="135"/>
      <c r="O17" s="135"/>
      <c r="P17" s="135"/>
      <c r="Q17" s="136" t="s">
        <v>55</v>
      </c>
    </row>
    <row r="18" spans="1:17" ht="15" thickBot="1" x14ac:dyDescent="0.35">
      <c r="A18" s="138"/>
      <c r="B18" s="139"/>
      <c r="C18" s="139"/>
      <c r="D18" s="139"/>
      <c r="E18" s="139"/>
      <c r="F18" s="139"/>
      <c r="G18" s="139"/>
      <c r="H18" s="139"/>
      <c r="I18" s="139"/>
      <c r="J18" s="140"/>
      <c r="M18" s="135"/>
      <c r="N18" s="135"/>
      <c r="O18" s="135"/>
      <c r="P18" s="135"/>
      <c r="Q18" s="136"/>
    </row>
    <row r="19" spans="1:17" ht="30" customHeight="1" thickBot="1" x14ac:dyDescent="0.35">
      <c r="A19" s="92" t="s">
        <v>61</v>
      </c>
      <c r="B19" s="39">
        <v>200</v>
      </c>
      <c r="C19" s="137">
        <f>B19/2/10</f>
        <v>10</v>
      </c>
      <c r="D19" s="137"/>
      <c r="E19" s="137"/>
      <c r="F19" s="137">
        <f>(C19-((C11/2)/10))</f>
        <v>8.5</v>
      </c>
      <c r="G19" s="137"/>
      <c r="H19" s="137"/>
      <c r="I19" s="40">
        <f>J19/(C19)</f>
        <v>32.956373333333332</v>
      </c>
      <c r="J19" s="41">
        <f>2*((POWER(F19,2)*G11)+J11)</f>
        <v>329.56373333333335</v>
      </c>
      <c r="K19" s="108"/>
      <c r="M19" s="135"/>
      <c r="N19" s="135"/>
      <c r="O19" s="135"/>
      <c r="P19" s="135"/>
      <c r="Q19" s="136"/>
    </row>
    <row r="20" spans="1:17" ht="15" thickBot="1" x14ac:dyDescent="0.35">
      <c r="A20" s="141"/>
      <c r="B20" s="142"/>
      <c r="C20" s="142"/>
      <c r="D20" s="142"/>
      <c r="E20" s="142"/>
      <c r="F20" s="142"/>
      <c r="G20" s="142"/>
      <c r="H20" s="142"/>
      <c r="I20" s="142"/>
      <c r="J20" s="143"/>
      <c r="M20" s="135"/>
      <c r="N20" s="135"/>
      <c r="O20" s="135"/>
      <c r="P20" s="135"/>
      <c r="Q20" s="136"/>
    </row>
    <row r="21" spans="1:17" ht="30" customHeight="1" thickBot="1" x14ac:dyDescent="0.35">
      <c r="A21" s="92" t="s">
        <v>62</v>
      </c>
      <c r="B21" s="42">
        <v>200</v>
      </c>
      <c r="C21" s="137">
        <f>B21/2/10</f>
        <v>10</v>
      </c>
      <c r="D21" s="137"/>
      <c r="E21" s="137"/>
      <c r="F21" s="137">
        <f>(C21-((B13/2)/10))</f>
        <v>8.5</v>
      </c>
      <c r="G21" s="137"/>
      <c r="H21" s="137"/>
      <c r="I21" s="43">
        <f>J21/(C21)</f>
        <v>32.956373333333332</v>
      </c>
      <c r="J21" s="44">
        <f>2*((POWER(F21,2)*G13)+J13)</f>
        <v>329.56373333333335</v>
      </c>
      <c r="M21" s="135"/>
      <c r="N21" s="135"/>
      <c r="O21" s="135"/>
      <c r="P21" s="135"/>
      <c r="Q21" s="136"/>
    </row>
    <row r="22" spans="1:17" ht="15" thickBot="1" x14ac:dyDescent="0.35">
      <c r="M22" s="135"/>
      <c r="N22" s="135"/>
      <c r="O22" s="135"/>
      <c r="P22" s="135"/>
      <c r="Q22" s="136"/>
    </row>
    <row r="23" spans="1:17" ht="30" customHeight="1" thickBot="1" x14ac:dyDescent="0.35">
      <c r="A23" s="92" t="s">
        <v>63</v>
      </c>
      <c r="B23" s="42">
        <v>200</v>
      </c>
      <c r="C23" s="137">
        <f>B23/2/10</f>
        <v>10</v>
      </c>
      <c r="D23" s="137"/>
      <c r="E23" s="137"/>
      <c r="F23" s="137">
        <f>(C23-((E15/2)/10))</f>
        <v>8.5</v>
      </c>
      <c r="G23" s="137"/>
      <c r="H23" s="137"/>
      <c r="I23" s="43">
        <f>J23/(C23)</f>
        <v>25.768348254392635</v>
      </c>
      <c r="J23" s="44">
        <f>2*((POWER(F23,2)*G15)+J15)</f>
        <v>257.68348254392635</v>
      </c>
      <c r="M23" s="135"/>
      <c r="N23" s="135"/>
      <c r="O23" s="135"/>
      <c r="P23" s="135"/>
      <c r="Q23" s="136"/>
    </row>
    <row r="24" spans="1:17" ht="15" thickBot="1" x14ac:dyDescent="0.35"/>
    <row r="25" spans="1:17" ht="31.8" thickBot="1" x14ac:dyDescent="0.35">
      <c r="A25" s="35" t="s">
        <v>57</v>
      </c>
      <c r="B25" s="36" t="s">
        <v>12</v>
      </c>
      <c r="C25" s="133" t="s">
        <v>13</v>
      </c>
      <c r="D25" s="133"/>
      <c r="E25" s="133"/>
      <c r="F25" s="133" t="s">
        <v>14</v>
      </c>
      <c r="G25" s="133"/>
      <c r="H25" s="134"/>
      <c r="I25" s="37" t="s">
        <v>56</v>
      </c>
      <c r="J25" s="38" t="s">
        <v>52</v>
      </c>
      <c r="M25" s="135"/>
      <c r="N25" s="135"/>
      <c r="O25" s="135"/>
      <c r="P25" s="135"/>
      <c r="Q25" s="136" t="s">
        <v>55</v>
      </c>
    </row>
    <row r="26" spans="1:17" ht="15" thickBot="1" x14ac:dyDescent="0.35">
      <c r="A26" s="138"/>
      <c r="B26" s="139"/>
      <c r="C26" s="139"/>
      <c r="D26" s="139"/>
      <c r="E26" s="139"/>
      <c r="F26" s="139"/>
      <c r="G26" s="139"/>
      <c r="H26" s="139"/>
      <c r="I26" s="139"/>
      <c r="J26" s="140"/>
      <c r="M26" s="135"/>
      <c r="N26" s="135"/>
      <c r="O26" s="135"/>
      <c r="P26" s="135"/>
      <c r="Q26" s="136"/>
    </row>
    <row r="27" spans="1:17" ht="30" customHeight="1" thickBot="1" x14ac:dyDescent="0.35">
      <c r="A27" s="92" t="s">
        <v>61</v>
      </c>
      <c r="B27" s="39">
        <v>200</v>
      </c>
      <c r="C27" s="137">
        <f>B27/2/10</f>
        <v>10</v>
      </c>
      <c r="D27" s="137"/>
      <c r="E27" s="137"/>
      <c r="F27" s="137">
        <f>(C27-((C11/2)/10))</f>
        <v>8.5</v>
      </c>
      <c r="G27" s="137"/>
      <c r="H27" s="137"/>
      <c r="I27" s="40">
        <f>J27/C27</f>
        <v>65.912746666666663</v>
      </c>
      <c r="J27" s="41">
        <f>4*((POWER(F27,2)*G11)+J11)</f>
        <v>659.12746666666669</v>
      </c>
      <c r="M27" s="135"/>
      <c r="N27" s="135"/>
      <c r="O27" s="135"/>
      <c r="P27" s="135"/>
      <c r="Q27" s="136"/>
    </row>
    <row r="28" spans="1:17" ht="15" thickBot="1" x14ac:dyDescent="0.35">
      <c r="A28" s="141"/>
      <c r="B28" s="142"/>
      <c r="C28" s="142"/>
      <c r="D28" s="142"/>
      <c r="E28" s="142"/>
      <c r="F28" s="142"/>
      <c r="G28" s="142"/>
      <c r="H28" s="142"/>
      <c r="I28" s="142"/>
      <c r="J28" s="143"/>
      <c r="M28" s="135"/>
      <c r="N28" s="135"/>
      <c r="O28" s="135"/>
      <c r="P28" s="135"/>
      <c r="Q28" s="136"/>
    </row>
    <row r="29" spans="1:17" ht="30" customHeight="1" thickBot="1" x14ac:dyDescent="0.35">
      <c r="A29" s="92" t="s">
        <v>62</v>
      </c>
      <c r="B29" s="42">
        <v>200</v>
      </c>
      <c r="C29" s="137">
        <f>B29/2/10</f>
        <v>10</v>
      </c>
      <c r="D29" s="137"/>
      <c r="E29" s="137"/>
      <c r="F29" s="137">
        <f>(C29-((B13/2)/10))</f>
        <v>8.5</v>
      </c>
      <c r="G29" s="137"/>
      <c r="H29" s="137"/>
      <c r="I29" s="43">
        <f>J29/C29</f>
        <v>65.912746666666663</v>
      </c>
      <c r="J29" s="44">
        <f>4*((POWER(F29,2)*G13)+J13)</f>
        <v>659.12746666666669</v>
      </c>
      <c r="M29" s="135"/>
      <c r="N29" s="135"/>
      <c r="O29" s="135"/>
      <c r="P29" s="135"/>
      <c r="Q29" s="136"/>
    </row>
    <row r="30" spans="1:17" ht="15" thickBot="1" x14ac:dyDescent="0.35">
      <c r="M30" s="135"/>
      <c r="N30" s="135"/>
      <c r="O30" s="135"/>
      <c r="P30" s="135"/>
      <c r="Q30" s="136"/>
    </row>
    <row r="31" spans="1:17" ht="30" customHeight="1" thickBot="1" x14ac:dyDescent="0.35">
      <c r="A31" s="92" t="s">
        <v>63</v>
      </c>
      <c r="B31" s="42">
        <v>200</v>
      </c>
      <c r="C31" s="137">
        <f>B31/2/10</f>
        <v>10</v>
      </c>
      <c r="D31" s="137"/>
      <c r="E31" s="137"/>
      <c r="F31" s="137">
        <f>(C31-((E15/2)/10))</f>
        <v>8.5</v>
      </c>
      <c r="G31" s="137"/>
      <c r="H31" s="137"/>
      <c r="I31" s="43">
        <f>J31/C31</f>
        <v>51.536696508785269</v>
      </c>
      <c r="J31" s="44">
        <f>4*((POWER(F31,2)*G15)+J15)</f>
        <v>515.36696508785269</v>
      </c>
      <c r="M31" s="135"/>
      <c r="N31" s="135"/>
      <c r="O31" s="135"/>
      <c r="P31" s="135"/>
      <c r="Q31" s="136"/>
    </row>
    <row r="32" spans="1:17" ht="15" thickBot="1" x14ac:dyDescent="0.35"/>
    <row r="33" spans="1:17" ht="40.200000000000003" thickBot="1" x14ac:dyDescent="0.35">
      <c r="A33" s="35" t="s">
        <v>58</v>
      </c>
      <c r="B33" s="36" t="s">
        <v>12</v>
      </c>
      <c r="C33" s="133" t="s">
        <v>13</v>
      </c>
      <c r="D33" s="133"/>
      <c r="E33" s="133"/>
      <c r="F33" s="133" t="s">
        <v>14</v>
      </c>
      <c r="G33" s="133"/>
      <c r="H33" s="134"/>
      <c r="I33" s="37" t="s">
        <v>56</v>
      </c>
      <c r="J33" s="38" t="s">
        <v>52</v>
      </c>
      <c r="K33" s="38" t="s">
        <v>68</v>
      </c>
      <c r="M33" s="135"/>
      <c r="N33" s="135"/>
      <c r="O33" s="135"/>
      <c r="P33" s="135"/>
      <c r="Q33" s="136" t="s">
        <v>55</v>
      </c>
    </row>
    <row r="34" spans="1:17" ht="15" thickBot="1" x14ac:dyDescent="0.35">
      <c r="A34" s="110"/>
      <c r="B34" s="111"/>
      <c r="C34" s="111"/>
      <c r="D34" s="111"/>
      <c r="E34" s="111"/>
      <c r="F34" s="36" t="s">
        <v>66</v>
      </c>
      <c r="G34" s="36"/>
      <c r="H34" s="113" t="s">
        <v>67</v>
      </c>
      <c r="I34" s="111"/>
      <c r="J34" s="111"/>
      <c r="K34" s="84"/>
      <c r="M34" s="135"/>
      <c r="N34" s="135"/>
      <c r="O34" s="135"/>
      <c r="P34" s="135"/>
      <c r="Q34" s="136"/>
    </row>
    <row r="35" spans="1:17" ht="30" customHeight="1" thickBot="1" x14ac:dyDescent="0.35">
      <c r="A35" s="92" t="s">
        <v>61</v>
      </c>
      <c r="B35" s="39">
        <v>200</v>
      </c>
      <c r="C35" s="137">
        <f>B35/2/10</f>
        <v>10</v>
      </c>
      <c r="D35" s="137"/>
      <c r="E35" s="137"/>
      <c r="F35" s="112">
        <f>(B35/10-K35)-C11/10/2</f>
        <v>5.6666666666666661</v>
      </c>
      <c r="G35" s="109"/>
      <c r="H35" s="41">
        <f>K35-C11/2/10</f>
        <v>11.333333333333334</v>
      </c>
      <c r="I35" s="40">
        <f>J35/(C35)</f>
        <v>44.039893333333339</v>
      </c>
      <c r="J35" s="41">
        <f>2*((POWER(F35,2)*G11)+J11)+((POWER(H35,2)*G11)+J11)</f>
        <v>440.39893333333339</v>
      </c>
      <c r="K35" s="41">
        <f>((C11/2*G11)/10+(2*(G11*(B35-(C11/2))/10)))/3/G11</f>
        <v>12.833333333333334</v>
      </c>
      <c r="M35" s="135"/>
      <c r="N35" s="135"/>
      <c r="O35" s="135"/>
      <c r="P35" s="135"/>
      <c r="Q35" s="136"/>
    </row>
    <row r="36" spans="1:17" ht="15" thickBot="1" x14ac:dyDescent="0.35">
      <c r="A36" s="141"/>
      <c r="B36" s="142"/>
      <c r="C36" s="142"/>
      <c r="D36" s="142"/>
      <c r="E36" s="142"/>
      <c r="F36" s="142"/>
      <c r="G36" s="142"/>
      <c r="H36" s="142"/>
      <c r="I36" s="142"/>
      <c r="J36" s="143"/>
      <c r="M36" s="135"/>
      <c r="N36" s="135"/>
      <c r="O36" s="135"/>
      <c r="P36" s="135"/>
      <c r="Q36" s="136"/>
    </row>
    <row r="37" spans="1:17" ht="30" customHeight="1" thickBot="1" x14ac:dyDescent="0.35">
      <c r="A37" s="92" t="s">
        <v>62</v>
      </c>
      <c r="B37" s="42">
        <v>200</v>
      </c>
      <c r="C37" s="137">
        <f>B37/2/10</f>
        <v>10</v>
      </c>
      <c r="D37" s="137"/>
      <c r="E37" s="137"/>
      <c r="F37" s="112">
        <f>(B37/10-K37)-B13/10/2</f>
        <v>5.6666666666666661</v>
      </c>
      <c r="G37" s="109"/>
      <c r="H37" s="41">
        <f>K37-B13/2/10</f>
        <v>11.333333333333334</v>
      </c>
      <c r="I37" s="43">
        <f>J37/(C37)</f>
        <v>44.039893333333339</v>
      </c>
      <c r="J37" s="44">
        <f>2*((POWER(F37,2)*G13)+J13)+((POWER(H37,2)*G13)+J13)</f>
        <v>440.39893333333339</v>
      </c>
      <c r="K37" s="41">
        <f>(0.1*B13/2*G13+2*(G13*0.1*(B37-(B13/2))))/3/G13</f>
        <v>12.833333333333334</v>
      </c>
      <c r="M37" s="135"/>
      <c r="N37" s="135"/>
      <c r="O37" s="135"/>
      <c r="P37" s="135"/>
      <c r="Q37" s="136"/>
    </row>
    <row r="38" spans="1:17" ht="15" thickBot="1" x14ac:dyDescent="0.35">
      <c r="M38" s="135"/>
      <c r="N38" s="135"/>
      <c r="O38" s="135"/>
      <c r="P38" s="135"/>
      <c r="Q38" s="136"/>
    </row>
    <row r="39" spans="1:17" ht="30" customHeight="1" thickBot="1" x14ac:dyDescent="0.35">
      <c r="A39" s="92" t="s">
        <v>63</v>
      </c>
      <c r="B39" s="42">
        <v>200</v>
      </c>
      <c r="C39" s="137">
        <f>B39/2/10</f>
        <v>10</v>
      </c>
      <c r="D39" s="137"/>
      <c r="E39" s="137"/>
      <c r="F39" s="112">
        <f>(B39/10-K39)-E15/10/2</f>
        <v>5.6666666666666661</v>
      </c>
      <c r="G39" s="109"/>
      <c r="H39" s="41">
        <f>K39-E15/2/10</f>
        <v>11.333333333333334</v>
      </c>
      <c r="I39" s="43">
        <f>J39/(C39)</f>
        <v>34.657353921236826</v>
      </c>
      <c r="J39" s="44">
        <f>2*((POWER(F39,2)*G15)+J13)+((POWER(H39,2)*G15)+J15)</f>
        <v>346.57353921236825</v>
      </c>
      <c r="K39" s="41">
        <f>(0.1*E15/2*G15+2*(G15*0.1*(B39-(E15/2))))/3/G15</f>
        <v>12.833333333333334</v>
      </c>
      <c r="M39" s="135"/>
      <c r="N39" s="135"/>
      <c r="O39" s="135"/>
      <c r="P39" s="135"/>
      <c r="Q39" s="136"/>
    </row>
  </sheetData>
  <mergeCells count="48">
    <mergeCell ref="C35:E35"/>
    <mergeCell ref="A36:J36"/>
    <mergeCell ref="C37:E37"/>
    <mergeCell ref="P25:P31"/>
    <mergeCell ref="Q25:Q31"/>
    <mergeCell ref="C33:E33"/>
    <mergeCell ref="F33:H33"/>
    <mergeCell ref="Q33:Q39"/>
    <mergeCell ref="A26:J26"/>
    <mergeCell ref="C27:E27"/>
    <mergeCell ref="F27:H27"/>
    <mergeCell ref="A28:J28"/>
    <mergeCell ref="C29:E29"/>
    <mergeCell ref="F29:H29"/>
    <mergeCell ref="C31:E31"/>
    <mergeCell ref="F31:H31"/>
    <mergeCell ref="C39:E39"/>
    <mergeCell ref="M33:N39"/>
    <mergeCell ref="O33:O39"/>
    <mergeCell ref="P33:P39"/>
    <mergeCell ref="O17:O23"/>
    <mergeCell ref="Q17:Q23"/>
    <mergeCell ref="P17:P23"/>
    <mergeCell ref="C25:E25"/>
    <mergeCell ref="F25:H25"/>
    <mergeCell ref="M25:N31"/>
    <mergeCell ref="O25:O31"/>
    <mergeCell ref="C23:E23"/>
    <mergeCell ref="F23:H23"/>
    <mergeCell ref="M17:N23"/>
    <mergeCell ref="A18:J18"/>
    <mergeCell ref="C19:E19"/>
    <mergeCell ref="F19:H19"/>
    <mergeCell ref="A20:J20"/>
    <mergeCell ref="C21:E21"/>
    <mergeCell ref="F21:H21"/>
    <mergeCell ref="A10:K10"/>
    <mergeCell ref="A12:K12"/>
    <mergeCell ref="A14:K14"/>
    <mergeCell ref="A16:K16"/>
    <mergeCell ref="C17:E17"/>
    <mergeCell ref="F17:H17"/>
    <mergeCell ref="A1:Q1"/>
    <mergeCell ref="A2:K2"/>
    <mergeCell ref="A4:K4"/>
    <mergeCell ref="A6:K6"/>
    <mergeCell ref="A8:K8"/>
    <mergeCell ref="N3:Q3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EAD3-DAA1-4ECF-993A-8C6B6CCAFFDB}">
  <dimension ref="A1:M25"/>
  <sheetViews>
    <sheetView topLeftCell="A4" zoomScale="112" zoomScaleNormal="85" workbookViewId="0">
      <selection activeCell="E28" sqref="E28"/>
    </sheetView>
  </sheetViews>
  <sheetFormatPr baseColWidth="10" defaultRowHeight="14.4" x14ac:dyDescent="0.3"/>
  <cols>
    <col min="1" max="1" width="16" customWidth="1"/>
    <col min="2" max="2" width="15.109375" customWidth="1"/>
    <col min="3" max="6" width="13.6640625" customWidth="1"/>
    <col min="7" max="11" width="18.6640625" customWidth="1"/>
    <col min="12" max="13" width="13.6640625" customWidth="1"/>
    <col min="14" max="14" width="11.77734375" customWidth="1"/>
    <col min="15" max="15" width="19.77734375" customWidth="1"/>
    <col min="16" max="16" width="20.44140625" customWidth="1"/>
    <col min="17" max="17" width="18.33203125" customWidth="1"/>
  </cols>
  <sheetData>
    <row r="1" spans="1:13" ht="30" customHeight="1" thickBot="1" x14ac:dyDescent="0.35">
      <c r="A1" s="114" t="s">
        <v>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0.95" customHeight="1" thickBo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9.55" customHeight="1" thickBot="1" x14ac:dyDescent="0.35">
      <c r="A3" s="147" t="s">
        <v>51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 ht="25.05" customHeight="1" thickBot="1" x14ac:dyDescent="0.35">
      <c r="A4" s="96" t="s">
        <v>46</v>
      </c>
      <c r="B4" s="89" t="s">
        <v>60</v>
      </c>
      <c r="C4" s="97" t="s">
        <v>47</v>
      </c>
      <c r="D4" s="55">
        <f>IF(B4="Stahl (JR235)",210000,IF(B4="AlMg3 (6060)",70000,""))</f>
        <v>210000</v>
      </c>
      <c r="E4" s="98" t="s">
        <v>50</v>
      </c>
      <c r="F4" s="97" t="s">
        <v>48</v>
      </c>
      <c r="G4" s="58">
        <f>IF(B4="Stahl (JR235)",235/1.1,IF(B4="AlMg3 (6060)",130/1.25,""))</f>
        <v>213.63636363636363</v>
      </c>
      <c r="H4" s="98" t="s">
        <v>50</v>
      </c>
      <c r="I4" s="99"/>
      <c r="J4" s="99"/>
      <c r="K4" s="99"/>
      <c r="L4" s="99"/>
      <c r="M4" s="100"/>
    </row>
    <row r="5" spans="1:13" ht="16.2" thickBot="1" x14ac:dyDescent="0.35">
      <c r="A5" s="45" t="s">
        <v>15</v>
      </c>
      <c r="B5" s="150"/>
      <c r="C5" s="151"/>
      <c r="D5" s="151"/>
      <c r="E5" s="151"/>
      <c r="F5" s="152"/>
      <c r="G5" s="93" t="s">
        <v>9</v>
      </c>
      <c r="H5" s="94" t="s">
        <v>10</v>
      </c>
      <c r="I5" s="95" t="s">
        <v>11</v>
      </c>
      <c r="J5" s="153" t="s">
        <v>16</v>
      </c>
      <c r="K5" s="154"/>
      <c r="L5" s="154"/>
      <c r="M5" s="155"/>
    </row>
    <row r="6" spans="1:13" ht="40.200000000000003" thickBot="1" x14ac:dyDescent="0.35">
      <c r="A6" s="46" t="s">
        <v>17</v>
      </c>
      <c r="B6" s="36" t="s">
        <v>72</v>
      </c>
      <c r="C6" s="47" t="s">
        <v>18</v>
      </c>
      <c r="D6" s="47" t="s">
        <v>19</v>
      </c>
      <c r="E6" s="47" t="s">
        <v>20</v>
      </c>
      <c r="F6" s="48" t="s">
        <v>21</v>
      </c>
      <c r="G6" s="49" t="s">
        <v>22</v>
      </c>
      <c r="H6" s="50" t="s">
        <v>23</v>
      </c>
      <c r="I6" s="51" t="s">
        <v>24</v>
      </c>
      <c r="J6" s="105" t="s">
        <v>25</v>
      </c>
      <c r="K6" s="106" t="s">
        <v>26</v>
      </c>
      <c r="L6" s="106" t="s">
        <v>27</v>
      </c>
      <c r="M6" s="107" t="s">
        <v>28</v>
      </c>
    </row>
    <row r="7" spans="1:13" ht="15" thickBot="1" x14ac:dyDescent="0.3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ht="15" thickBot="1" x14ac:dyDescent="0.35">
      <c r="A8" s="52"/>
      <c r="B8" s="53">
        <v>2000</v>
      </c>
      <c r="C8" s="54">
        <v>1</v>
      </c>
      <c r="D8" s="55">
        <f>B8/2</f>
        <v>1000</v>
      </c>
      <c r="E8" s="55">
        <f>B8/2</f>
        <v>1000</v>
      </c>
      <c r="F8" s="56">
        <f>(B8*C8)/4</f>
        <v>500</v>
      </c>
      <c r="G8" s="57">
        <f>($B$8*($C$8*1000)^3)/(48*$D$4*'Widerstand- und Flächenmomente'!J11*10000)</f>
        <v>6.7444490486549933</v>
      </c>
      <c r="H8" s="57">
        <f>($B$8*($C$8*1000)^3)/(48*$D$4*'Widerstand- und Flächenmomente'!J13*10000)</f>
        <v>6.7444490486549933</v>
      </c>
      <c r="I8" s="57">
        <f>($B$8*($C$8*1000)^3)/(48*$D$4*'Widerstand- und Flächenmomente'!J15*10000)</f>
        <v>11.449732314931982</v>
      </c>
      <c r="J8" s="54">
        <v>160</v>
      </c>
      <c r="K8" s="54">
        <v>21</v>
      </c>
      <c r="L8" s="57">
        <f>($B$8*($C$8*1000)^3)/(48*$D$4*J8*10000)</f>
        <v>0.12400793650793651</v>
      </c>
      <c r="M8" s="44">
        <f>F8/K8</f>
        <v>23.80952380952381</v>
      </c>
    </row>
    <row r="9" spans="1:13" ht="15" thickBot="1" x14ac:dyDescent="0.35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8"/>
    </row>
    <row r="10" spans="1:13" ht="26.4" x14ac:dyDescent="0.3">
      <c r="A10" s="169"/>
      <c r="B10" s="170"/>
      <c r="C10" s="170"/>
      <c r="D10" s="170"/>
      <c r="E10" s="170"/>
      <c r="F10" s="170"/>
      <c r="G10" s="101" t="s">
        <v>28</v>
      </c>
      <c r="H10" s="102" t="s">
        <v>28</v>
      </c>
      <c r="I10" s="102" t="s">
        <v>28</v>
      </c>
      <c r="J10" s="173"/>
      <c r="K10" s="173"/>
      <c r="L10" s="173"/>
      <c r="M10" s="174"/>
    </row>
    <row r="11" spans="1:13" ht="15" thickBot="1" x14ac:dyDescent="0.35">
      <c r="A11" s="171"/>
      <c r="B11" s="172"/>
      <c r="C11" s="172"/>
      <c r="D11" s="172"/>
      <c r="E11" s="172"/>
      <c r="F11" s="172"/>
      <c r="G11" s="59">
        <f>F8/('Widerstand- und Flächenmomente'!H11)</f>
        <v>254.94017403915879</v>
      </c>
      <c r="H11" s="60">
        <f>F8/('Widerstand- und Flächenmomente'!H13)</f>
        <v>254.94017403915879</v>
      </c>
      <c r="I11" s="61">
        <f>F8/('Widerstand- und Flächenmomente'!H15)</f>
        <v>433.0194038881678</v>
      </c>
      <c r="J11" s="175"/>
      <c r="K11" s="175"/>
      <c r="L11" s="175"/>
      <c r="M11" s="176"/>
    </row>
    <row r="12" spans="1:13" ht="15" thickBot="1" x14ac:dyDescent="0.35">
      <c r="A12" s="177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9"/>
    </row>
    <row r="13" spans="1:13" ht="40.200000000000003" thickBot="1" x14ac:dyDescent="0.35">
      <c r="A13" s="46" t="s">
        <v>29</v>
      </c>
      <c r="B13" s="36" t="s">
        <v>71</v>
      </c>
      <c r="C13" s="47" t="s">
        <v>18</v>
      </c>
      <c r="D13" s="47" t="s">
        <v>19</v>
      </c>
      <c r="E13" s="47" t="s">
        <v>20</v>
      </c>
      <c r="F13" s="48" t="s">
        <v>30</v>
      </c>
      <c r="G13" s="49" t="s">
        <v>31</v>
      </c>
      <c r="H13" s="50" t="s">
        <v>32</v>
      </c>
      <c r="I13" s="51" t="s">
        <v>32</v>
      </c>
      <c r="J13" s="105" t="s">
        <v>25</v>
      </c>
      <c r="K13" s="106" t="s">
        <v>26</v>
      </c>
      <c r="L13" s="106" t="s">
        <v>27</v>
      </c>
      <c r="M13" s="107" t="s">
        <v>28</v>
      </c>
    </row>
    <row r="14" spans="1:13" ht="15" thickBot="1" x14ac:dyDescent="0.35">
      <c r="A14" s="180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4"/>
    </row>
    <row r="15" spans="1:13" ht="15" thickBot="1" x14ac:dyDescent="0.35">
      <c r="A15" s="62"/>
      <c r="B15" s="53">
        <v>2000</v>
      </c>
      <c r="C15" s="54">
        <v>1</v>
      </c>
      <c r="D15" s="55">
        <f>B15/2</f>
        <v>1000</v>
      </c>
      <c r="E15" s="55">
        <f>B15/2</f>
        <v>1000</v>
      </c>
      <c r="F15" s="64">
        <f>(B15*C15)/8</f>
        <v>250</v>
      </c>
      <c r="G15" s="57">
        <f>(B15*(C15*1000^3))/(D4*10000*192*'Widerstand- und Flächenmomente'!J11)</f>
        <v>1.6861122621637488</v>
      </c>
      <c r="H15" s="58">
        <f>(B15*(C15*1000)^3/(D4*10000*192*'Widerstand- und Flächenmomente'!J13))</f>
        <v>1.6861122621637488</v>
      </c>
      <c r="I15" s="41">
        <f>(B15*(C15*1000^3))/(D4*10000*192*'Widerstand- und Flächenmomente'!J15)</f>
        <v>2.8624330787329959</v>
      </c>
      <c r="J15" s="54">
        <v>10</v>
      </c>
      <c r="K15" s="54">
        <v>10</v>
      </c>
      <c r="L15" s="40">
        <f>(B15*(C15*1000)^3)/(D4*10000*192*J15)</f>
        <v>0.49603174603174605</v>
      </c>
      <c r="M15" s="44">
        <f>F15/K15</f>
        <v>25</v>
      </c>
    </row>
    <row r="16" spans="1:13" ht="15" thickBot="1" x14ac:dyDescent="0.35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8"/>
    </row>
    <row r="17" spans="1:13" ht="26.4" x14ac:dyDescent="0.3">
      <c r="A17" s="169"/>
      <c r="B17" s="170"/>
      <c r="C17" s="170"/>
      <c r="D17" s="170"/>
      <c r="E17" s="170"/>
      <c r="F17" s="170"/>
      <c r="G17" s="103" t="s">
        <v>28</v>
      </c>
      <c r="H17" s="104" t="s">
        <v>28</v>
      </c>
      <c r="I17" s="102" t="s">
        <v>28</v>
      </c>
      <c r="J17" s="173"/>
      <c r="K17" s="173"/>
      <c r="L17" s="173"/>
      <c r="M17" s="174"/>
    </row>
    <row r="18" spans="1:13" ht="15" thickBot="1" x14ac:dyDescent="0.35">
      <c r="A18" s="171"/>
      <c r="B18" s="172"/>
      <c r="C18" s="172"/>
      <c r="D18" s="172"/>
      <c r="E18" s="172"/>
      <c r="F18" s="172"/>
      <c r="G18" s="59">
        <f>F15/('Widerstand- und Flächenmomente'!H11)</f>
        <v>127.4700870195794</v>
      </c>
      <c r="H18" s="60">
        <f>F15/('Widerstand- und Flächenmomente'!H13)</f>
        <v>127.4700870195794</v>
      </c>
      <c r="I18" s="65">
        <f>F15/('Widerstand- und Flächenmomente'!H15)</f>
        <v>216.5097019440839</v>
      </c>
      <c r="J18" s="175"/>
      <c r="K18" s="175"/>
      <c r="L18" s="175"/>
      <c r="M18" s="176"/>
    </row>
    <row r="19" spans="1:13" ht="15" thickBot="1" x14ac:dyDescent="0.35">
      <c r="A19" s="180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4"/>
    </row>
    <row r="20" spans="1:13" ht="40.200000000000003" thickBot="1" x14ac:dyDescent="0.35">
      <c r="A20" s="46" t="s">
        <v>33</v>
      </c>
      <c r="B20" s="36" t="s">
        <v>71</v>
      </c>
      <c r="C20" s="47" t="s">
        <v>18</v>
      </c>
      <c r="D20" s="47" t="s">
        <v>70</v>
      </c>
      <c r="E20" s="47"/>
      <c r="F20" s="48" t="s">
        <v>34</v>
      </c>
      <c r="G20" s="49" t="s">
        <v>31</v>
      </c>
      <c r="H20" s="50" t="s">
        <v>35</v>
      </c>
      <c r="I20" s="51" t="s">
        <v>32</v>
      </c>
      <c r="J20" s="105" t="s">
        <v>25</v>
      </c>
      <c r="K20" s="106" t="s">
        <v>26</v>
      </c>
      <c r="L20" s="106" t="s">
        <v>27</v>
      </c>
      <c r="M20" s="107" t="s">
        <v>28</v>
      </c>
    </row>
    <row r="21" spans="1:13" ht="15" thickBot="1" x14ac:dyDescent="0.35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/>
    </row>
    <row r="22" spans="1:13" ht="15" thickBot="1" x14ac:dyDescent="0.35">
      <c r="A22" s="66"/>
      <c r="B22" s="67">
        <v>1000</v>
      </c>
      <c r="C22" s="68">
        <v>1.65</v>
      </c>
      <c r="D22" s="69">
        <f>B22</f>
        <v>1000</v>
      </c>
      <c r="E22" s="69"/>
      <c r="F22" s="70">
        <f>B22*C22</f>
        <v>1650</v>
      </c>
      <c r="G22" s="57">
        <f>($B$22*($C$22*1000^3))/($D$4*10000*3*'Widerstand- und Flächenmomente'!J11)</f>
        <v>89.026727442245928</v>
      </c>
      <c r="H22" s="57">
        <f>($B$22*($C$22*1000^3))/($D$4*10000*3*'Widerstand- und Flächenmomente'!J13)</f>
        <v>89.026727442245928</v>
      </c>
      <c r="I22" s="57">
        <f>($B$22*($C$22*1000^3))/($D$4*10000*3*'Widerstand- und Flächenmomente'!J15)</f>
        <v>151.13646655710218</v>
      </c>
      <c r="J22" s="68">
        <v>10</v>
      </c>
      <c r="K22" s="68">
        <v>10</v>
      </c>
      <c r="L22" s="43">
        <f>(B22*(C22*1000)^3)/(D4*10000*3*J22)</f>
        <v>71.303571428571431</v>
      </c>
      <c r="M22" s="44">
        <f>F22/K22</f>
        <v>165</v>
      </c>
    </row>
    <row r="23" spans="1:13" ht="15" thickBot="1" x14ac:dyDescent="0.35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6"/>
    </row>
    <row r="24" spans="1:13" ht="26.4" x14ac:dyDescent="0.3">
      <c r="A24" s="156"/>
      <c r="B24" s="157"/>
      <c r="C24" s="157"/>
      <c r="D24" s="157"/>
      <c r="E24" s="157"/>
      <c r="F24" s="158"/>
      <c r="G24" s="103" t="s">
        <v>28</v>
      </c>
      <c r="H24" s="104" t="s">
        <v>28</v>
      </c>
      <c r="I24" s="102" t="s">
        <v>28</v>
      </c>
      <c r="J24" s="162"/>
      <c r="K24" s="135"/>
      <c r="L24" s="135"/>
      <c r="M24" s="163"/>
    </row>
    <row r="25" spans="1:13" ht="15" thickBot="1" x14ac:dyDescent="0.35">
      <c r="A25" s="159"/>
      <c r="B25" s="160"/>
      <c r="C25" s="160"/>
      <c r="D25" s="160"/>
      <c r="E25" s="160"/>
      <c r="F25" s="161"/>
      <c r="G25" s="59">
        <f>F22/('Widerstand- und Flächenmomente'!H11)</f>
        <v>841.30257432922406</v>
      </c>
      <c r="H25" s="59">
        <f>F22/('Widerstand- und Flächenmomente'!H13)</f>
        <v>841.30257432922406</v>
      </c>
      <c r="I25" s="59">
        <f>F22/('Widerstand- und Flächenmomente'!H15)</f>
        <v>1428.9640328309538</v>
      </c>
      <c r="J25" s="164"/>
      <c r="K25" s="117"/>
      <c r="L25" s="117"/>
      <c r="M25" s="165"/>
    </row>
  </sheetData>
  <mergeCells count="19">
    <mergeCell ref="A24:F25"/>
    <mergeCell ref="J24:M25"/>
    <mergeCell ref="A9:M9"/>
    <mergeCell ref="A10:F11"/>
    <mergeCell ref="J10:M11"/>
    <mergeCell ref="A12:M12"/>
    <mergeCell ref="A14:M14"/>
    <mergeCell ref="A16:M16"/>
    <mergeCell ref="A17:F18"/>
    <mergeCell ref="J17:M18"/>
    <mergeCell ref="A19:M19"/>
    <mergeCell ref="A21:M21"/>
    <mergeCell ref="A23:M23"/>
    <mergeCell ref="A7:M7"/>
    <mergeCell ref="A1:M1"/>
    <mergeCell ref="A2:M2"/>
    <mergeCell ref="A3:M3"/>
    <mergeCell ref="B5:F5"/>
    <mergeCell ref="J5:M5"/>
  </mergeCells>
  <pageMargins left="0.7" right="0.7" top="0.78740157499999996" bottom="0.78740157499999996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45A75B-92F5-41E0-96F6-71F3AE32D80F}">
          <x14:formula1>
            <xm:f>'Dropdown,Quellen'!$A$3:$A$4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5617-F027-4F2C-BEF2-2CBD0F372826}">
  <dimension ref="A1:M25"/>
  <sheetViews>
    <sheetView zoomScale="85" zoomScaleNormal="85" workbookViewId="0">
      <selection activeCell="D4" sqref="D4"/>
    </sheetView>
  </sheetViews>
  <sheetFormatPr baseColWidth="10" defaultRowHeight="14.4" x14ac:dyDescent="0.3"/>
  <cols>
    <col min="1" max="1" width="16" customWidth="1"/>
    <col min="2" max="2" width="15.109375" customWidth="1"/>
    <col min="3" max="6" width="13.6640625" customWidth="1"/>
    <col min="7" max="11" width="18.6640625" customWidth="1"/>
    <col min="12" max="13" width="13.6640625" customWidth="1"/>
    <col min="14" max="14" width="11.77734375" customWidth="1"/>
    <col min="15" max="15" width="19.77734375" customWidth="1"/>
    <col min="16" max="16" width="20.44140625" customWidth="1"/>
    <col min="17" max="17" width="18.33203125" customWidth="1"/>
  </cols>
  <sheetData>
    <row r="1" spans="1:13" ht="30" customHeight="1" thickBot="1" x14ac:dyDescent="0.35">
      <c r="A1" s="114" t="s">
        <v>45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3" ht="10.95" customHeight="1" thickBo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9.55" customHeight="1" thickBot="1" x14ac:dyDescent="0.35">
      <c r="A3" s="147" t="s">
        <v>51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1:13" ht="25.05" customHeight="1" thickBot="1" x14ac:dyDescent="0.35">
      <c r="A4" s="96" t="s">
        <v>46</v>
      </c>
      <c r="B4" s="89" t="s">
        <v>60</v>
      </c>
      <c r="C4" s="97" t="s">
        <v>47</v>
      </c>
      <c r="D4" s="55">
        <f>IF(B4="Stahl (JR235)",210000,IF(B4="AlMg3 (6060)",70000,""))</f>
        <v>210000</v>
      </c>
      <c r="E4" s="98" t="s">
        <v>50</v>
      </c>
      <c r="F4" s="97" t="s">
        <v>48</v>
      </c>
      <c r="G4" s="58">
        <f>IF(B4="Stahl (JR235)",235/1.1,IF(B4="AlMg3 (6060)",130/1.25,""))</f>
        <v>213.63636363636363</v>
      </c>
      <c r="H4" s="98" t="s">
        <v>50</v>
      </c>
      <c r="I4" s="99"/>
      <c r="J4" s="99"/>
      <c r="K4" s="99"/>
      <c r="L4" s="99"/>
      <c r="M4" s="100"/>
    </row>
    <row r="5" spans="1:13" ht="16.2" thickBot="1" x14ac:dyDescent="0.35">
      <c r="A5" s="45" t="s">
        <v>15</v>
      </c>
      <c r="B5" s="150"/>
      <c r="C5" s="151"/>
      <c r="D5" s="151"/>
      <c r="E5" s="151"/>
      <c r="F5" s="152"/>
      <c r="G5" s="93" t="s">
        <v>9</v>
      </c>
      <c r="H5" s="94" t="s">
        <v>10</v>
      </c>
      <c r="I5" s="95" t="s">
        <v>11</v>
      </c>
      <c r="J5" s="153" t="s">
        <v>16</v>
      </c>
      <c r="K5" s="154"/>
      <c r="L5" s="154"/>
      <c r="M5" s="155"/>
    </row>
    <row r="6" spans="1:13" ht="40.200000000000003" thickBot="1" x14ac:dyDescent="0.35">
      <c r="A6" s="46" t="s">
        <v>17</v>
      </c>
      <c r="B6" s="36" t="s">
        <v>44</v>
      </c>
      <c r="C6" s="47" t="s">
        <v>18</v>
      </c>
      <c r="D6" s="47" t="s">
        <v>19</v>
      </c>
      <c r="E6" s="47" t="s">
        <v>20</v>
      </c>
      <c r="F6" s="48" t="s">
        <v>21</v>
      </c>
      <c r="G6" s="49" t="s">
        <v>22</v>
      </c>
      <c r="H6" s="50" t="s">
        <v>23</v>
      </c>
      <c r="I6" s="51" t="s">
        <v>24</v>
      </c>
      <c r="J6" s="105" t="s">
        <v>25</v>
      </c>
      <c r="K6" s="106" t="s">
        <v>26</v>
      </c>
      <c r="L6" s="106" t="s">
        <v>27</v>
      </c>
      <c r="M6" s="107" t="s">
        <v>28</v>
      </c>
    </row>
    <row r="7" spans="1:13" ht="15" thickBot="1" x14ac:dyDescent="0.3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ht="15" thickBot="1" x14ac:dyDescent="0.35">
      <c r="A8" s="52"/>
      <c r="B8" s="53">
        <v>2000</v>
      </c>
      <c r="C8" s="54">
        <v>1</v>
      </c>
      <c r="D8" s="55">
        <f>(B8*C8)/2</f>
        <v>1000</v>
      </c>
      <c r="E8" s="55">
        <f>(B8*C8)/2</f>
        <v>1000</v>
      </c>
      <c r="F8" s="56">
        <f>(B8*POWER(C8,2))/8</f>
        <v>250</v>
      </c>
      <c r="G8" s="57">
        <f>(B8/1000)*(POWER((C8*1000),4))/(D4*10000*76.8*'Widerstand- und Flächenmomente'!J11)</f>
        <v>4.215280655409372</v>
      </c>
      <c r="H8" s="58">
        <f>(B8/1000)*(POWER((C8*1000),4))/(D4*10000*76.8*'Widerstand- und Flächenmomente'!J13)</f>
        <v>4.215280655409372</v>
      </c>
      <c r="I8" s="41">
        <f>(B8/1000)*(POWER((C8*1000),4))/(D4*10000*76.8*'Widerstand- und Flächenmomente'!J15)</f>
        <v>7.15608269683249</v>
      </c>
      <c r="J8" s="54">
        <v>160</v>
      </c>
      <c r="K8" s="54">
        <v>21</v>
      </c>
      <c r="L8" s="40">
        <f>(B8/1000)*(POWER((C8*1000),4))/(210000*10000*76.8*J8)</f>
        <v>7.750496031746032E-2</v>
      </c>
      <c r="M8" s="44">
        <f>(F8*1000)/(K8*1000)</f>
        <v>11.904761904761905</v>
      </c>
    </row>
    <row r="9" spans="1:13" ht="15" thickBot="1" x14ac:dyDescent="0.35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8"/>
    </row>
    <row r="10" spans="1:13" ht="26.4" x14ac:dyDescent="0.3">
      <c r="A10" s="169"/>
      <c r="B10" s="170"/>
      <c r="C10" s="170"/>
      <c r="D10" s="170"/>
      <c r="E10" s="170"/>
      <c r="F10" s="170"/>
      <c r="G10" s="101" t="s">
        <v>28</v>
      </c>
      <c r="H10" s="102" t="s">
        <v>28</v>
      </c>
      <c r="I10" s="102" t="s">
        <v>28</v>
      </c>
      <c r="J10" s="173"/>
      <c r="K10" s="173"/>
      <c r="L10" s="173"/>
      <c r="M10" s="174"/>
    </row>
    <row r="11" spans="1:13" ht="15" thickBot="1" x14ac:dyDescent="0.35">
      <c r="A11" s="171"/>
      <c r="B11" s="172"/>
      <c r="C11" s="172"/>
      <c r="D11" s="172"/>
      <c r="E11" s="172"/>
      <c r="F11" s="172"/>
      <c r="G11" s="59">
        <f>(F8*1000)/('Widerstand- und Flächenmomente'!H11*1000)</f>
        <v>127.4700870195794</v>
      </c>
      <c r="H11" s="60">
        <f>(F8*1000)/('Widerstand- und Flächenmomente'!H13*1000)</f>
        <v>127.4700870195794</v>
      </c>
      <c r="I11" s="61">
        <f>(F8*1000)/('Widerstand- und Flächenmomente'!H15*1000)</f>
        <v>216.5097019440839</v>
      </c>
      <c r="J11" s="175"/>
      <c r="K11" s="175"/>
      <c r="L11" s="175"/>
      <c r="M11" s="176"/>
    </row>
    <row r="12" spans="1:13" ht="15" thickBot="1" x14ac:dyDescent="0.35">
      <c r="A12" s="177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9"/>
    </row>
    <row r="13" spans="1:13" ht="40.200000000000003" thickBot="1" x14ac:dyDescent="0.35">
      <c r="A13" s="46" t="s">
        <v>29</v>
      </c>
      <c r="B13" s="36" t="s">
        <v>44</v>
      </c>
      <c r="C13" s="47" t="s">
        <v>18</v>
      </c>
      <c r="D13" s="47" t="s">
        <v>19</v>
      </c>
      <c r="E13" s="47" t="s">
        <v>20</v>
      </c>
      <c r="F13" s="48" t="s">
        <v>30</v>
      </c>
      <c r="G13" s="49" t="s">
        <v>31</v>
      </c>
      <c r="H13" s="50" t="s">
        <v>32</v>
      </c>
      <c r="I13" s="51" t="s">
        <v>32</v>
      </c>
      <c r="J13" s="105" t="s">
        <v>25</v>
      </c>
      <c r="K13" s="106" t="s">
        <v>26</v>
      </c>
      <c r="L13" s="106" t="s">
        <v>27</v>
      </c>
      <c r="M13" s="107" t="s">
        <v>28</v>
      </c>
    </row>
    <row r="14" spans="1:13" ht="15" thickBot="1" x14ac:dyDescent="0.35">
      <c r="A14" s="180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4"/>
    </row>
    <row r="15" spans="1:13" ht="15" thickBot="1" x14ac:dyDescent="0.35">
      <c r="A15" s="62"/>
      <c r="B15" s="63">
        <v>2000</v>
      </c>
      <c r="C15" s="54">
        <v>1</v>
      </c>
      <c r="D15" s="55">
        <f>(B15*C15)/2</f>
        <v>1000</v>
      </c>
      <c r="E15" s="55">
        <f>(B15*C15)/2</f>
        <v>1000</v>
      </c>
      <c r="F15" s="64">
        <f>(-B15*POWER(C15,2))/12</f>
        <v>-166.66666666666666</v>
      </c>
      <c r="G15" s="57">
        <f>(B15/1000)*(POWER((C15*1000),4))/(D4*10000*384*'Widerstand- und Flächenmomente'!J11)</f>
        <v>0.84305613108187438</v>
      </c>
      <c r="H15" s="58">
        <f>(B15/1000)*(POWER((C15*1000),4))/(D4*10000*384*'Widerstand- und Flächenmomente'!J13)</f>
        <v>0.84305613108187438</v>
      </c>
      <c r="I15" s="41">
        <f>(B15/1000)*(POWER((C15*1000),4))/(D4*10000*384*'Widerstand- und Flächenmomente'!J15)</f>
        <v>1.431216539366498</v>
      </c>
      <c r="J15" s="54">
        <v>10</v>
      </c>
      <c r="K15" s="54">
        <v>10</v>
      </c>
      <c r="L15" s="40">
        <f>(B15/1000)*(POWER((C15*1000),4))/(210000*10000*384*J15)</f>
        <v>0.24801587301587302</v>
      </c>
      <c r="M15" s="44">
        <f>(F15*1000)/(K15*1000)</f>
        <v>-16.666666666666664</v>
      </c>
    </row>
    <row r="16" spans="1:13" ht="15" thickBot="1" x14ac:dyDescent="0.35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8"/>
    </row>
    <row r="17" spans="1:13" ht="26.4" x14ac:dyDescent="0.3">
      <c r="A17" s="169"/>
      <c r="B17" s="170"/>
      <c r="C17" s="170"/>
      <c r="D17" s="170"/>
      <c r="E17" s="170"/>
      <c r="F17" s="170"/>
      <c r="G17" s="103" t="s">
        <v>28</v>
      </c>
      <c r="H17" s="104" t="s">
        <v>28</v>
      </c>
      <c r="I17" s="102" t="s">
        <v>28</v>
      </c>
      <c r="J17" s="173"/>
      <c r="K17" s="173"/>
      <c r="L17" s="173"/>
      <c r="M17" s="174"/>
    </row>
    <row r="18" spans="1:13" ht="15" thickBot="1" x14ac:dyDescent="0.35">
      <c r="A18" s="171"/>
      <c r="B18" s="172"/>
      <c r="C18" s="172"/>
      <c r="D18" s="172"/>
      <c r="E18" s="172"/>
      <c r="F18" s="172"/>
      <c r="G18" s="59">
        <f>(F15*1000)/('Widerstand- und Flächenmomente'!H11*1000)</f>
        <v>-84.980058013052926</v>
      </c>
      <c r="H18" s="60">
        <f>(F15*1000)/('Widerstand- und Flächenmomente'!H13*1000)</f>
        <v>-84.980058013052926</v>
      </c>
      <c r="I18" s="65">
        <f>(F15*1000)/('Widerstand- und Flächenmomente'!H15*1000)</f>
        <v>-144.33980129605592</v>
      </c>
      <c r="J18" s="175"/>
      <c r="K18" s="175"/>
      <c r="L18" s="175"/>
      <c r="M18" s="176"/>
    </row>
    <row r="19" spans="1:13" ht="15" thickBot="1" x14ac:dyDescent="0.35">
      <c r="A19" s="180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4"/>
    </row>
    <row r="20" spans="1:13" ht="40.200000000000003" thickBot="1" x14ac:dyDescent="0.35">
      <c r="A20" s="46" t="s">
        <v>33</v>
      </c>
      <c r="B20" s="36" t="s">
        <v>44</v>
      </c>
      <c r="C20" s="47" t="s">
        <v>18</v>
      </c>
      <c r="D20" s="47" t="s">
        <v>19</v>
      </c>
      <c r="E20" s="47" t="s">
        <v>20</v>
      </c>
      <c r="F20" s="48" t="s">
        <v>34</v>
      </c>
      <c r="G20" s="49" t="s">
        <v>31</v>
      </c>
      <c r="H20" s="50" t="s">
        <v>35</v>
      </c>
      <c r="I20" s="51" t="s">
        <v>32</v>
      </c>
      <c r="J20" s="105" t="s">
        <v>25</v>
      </c>
      <c r="K20" s="106" t="s">
        <v>26</v>
      </c>
      <c r="L20" s="106" t="s">
        <v>27</v>
      </c>
      <c r="M20" s="107" t="s">
        <v>28</v>
      </c>
    </row>
    <row r="21" spans="1:13" ht="15" thickBot="1" x14ac:dyDescent="0.35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3"/>
    </row>
    <row r="22" spans="1:13" ht="15" thickBot="1" x14ac:dyDescent="0.35">
      <c r="A22" s="66"/>
      <c r="B22" s="67">
        <v>1000</v>
      </c>
      <c r="C22" s="68">
        <v>1.65</v>
      </c>
      <c r="D22" s="69">
        <f>3*(B22*C22)/8</f>
        <v>618.75</v>
      </c>
      <c r="E22" s="69">
        <f>5*(B22*C22)/8</f>
        <v>1031.25</v>
      </c>
      <c r="F22" s="70">
        <f>(-B22*POWER(C22,2))/8</f>
        <v>-340.31249999999994</v>
      </c>
      <c r="G22" s="71">
        <f>(B22/1000)*(POWER((C22*1000),4))/(D4*10000*192*'Widerstand- und Flächenmomente'!J11)</f>
        <v>6.2487373126796717</v>
      </c>
      <c r="H22" s="72">
        <f>(B22/1000)*(POWER((C22*1000),4))/(D4*10000*192*'Widerstand- und Flächenmomente'!J13)</f>
        <v>6.2487373126796717</v>
      </c>
      <c r="I22" s="44">
        <f>(B22/1000)*(POWER((C22*1000),4))/(D4*10000*192*'Widerstand- und Flächenmomente'!J15)</f>
        <v>10.608185934887853</v>
      </c>
      <c r="J22" s="68">
        <v>10</v>
      </c>
      <c r="K22" s="68">
        <v>10</v>
      </c>
      <c r="L22" s="43">
        <f>(B22/1000)*(POWER((C22*1000),4))/(210000*10000*192*J22)</f>
        <v>1.8382952008928573</v>
      </c>
      <c r="M22" s="44">
        <f>(F22*1000)/(K22*1000)</f>
        <v>-34.031249999999993</v>
      </c>
    </row>
    <row r="23" spans="1:13" ht="15" thickBot="1" x14ac:dyDescent="0.35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6"/>
    </row>
    <row r="24" spans="1:13" ht="26.4" x14ac:dyDescent="0.3">
      <c r="A24" s="156"/>
      <c r="B24" s="157"/>
      <c r="C24" s="157"/>
      <c r="D24" s="157"/>
      <c r="E24" s="157"/>
      <c r="F24" s="158"/>
      <c r="G24" s="103" t="s">
        <v>28</v>
      </c>
      <c r="H24" s="104" t="s">
        <v>28</v>
      </c>
      <c r="I24" s="102" t="s">
        <v>28</v>
      </c>
      <c r="J24" s="162"/>
      <c r="K24" s="135"/>
      <c r="L24" s="135"/>
      <c r="M24" s="163"/>
    </row>
    <row r="25" spans="1:13" ht="15" thickBot="1" x14ac:dyDescent="0.35">
      <c r="A25" s="159"/>
      <c r="B25" s="160"/>
      <c r="C25" s="160"/>
      <c r="D25" s="160"/>
      <c r="E25" s="160"/>
      <c r="F25" s="161"/>
      <c r="G25" s="59">
        <f>(F22*1000)/('Widerstand- und Flächenmomente'!H11*1000)</f>
        <v>-173.51865595540244</v>
      </c>
      <c r="H25" s="60">
        <f>(F22*1000)/('Widerstand- und Flächenmomente'!H13*1000)</f>
        <v>-173.51865595540244</v>
      </c>
      <c r="I25" s="65">
        <f>(F22*1000)/('Widerstand- und Flächenmomente'!H15*1000)</f>
        <v>-294.72383177138414</v>
      </c>
      <c r="J25" s="164"/>
      <c r="K25" s="117"/>
      <c r="L25" s="117"/>
      <c r="M25" s="165"/>
    </row>
  </sheetData>
  <mergeCells count="19">
    <mergeCell ref="A21:M21"/>
    <mergeCell ref="A23:M23"/>
    <mergeCell ref="A24:F25"/>
    <mergeCell ref="J24:M25"/>
    <mergeCell ref="A10:F11"/>
    <mergeCell ref="J10:M11"/>
    <mergeCell ref="A12:M12"/>
    <mergeCell ref="A14:M14"/>
    <mergeCell ref="A16:M16"/>
    <mergeCell ref="A17:F18"/>
    <mergeCell ref="J17:M18"/>
    <mergeCell ref="J5:M5"/>
    <mergeCell ref="A7:M7"/>
    <mergeCell ref="A9:M9"/>
    <mergeCell ref="A1:M1"/>
    <mergeCell ref="A19:M19"/>
    <mergeCell ref="A2:M2"/>
    <mergeCell ref="A3:M3"/>
    <mergeCell ref="B5:F5"/>
  </mergeCells>
  <pageMargins left="0.7" right="0.7" top="0.78740157499999996" bottom="0.78740157499999996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7B3EFC-4125-4A5F-A12F-59D1DA2C0403}">
          <x14:formula1>
            <xm:f>'Dropdown,Quellen'!$A$3:$A$4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96C95-D1CA-434C-B96A-1EF6A0E8FA2E}">
  <dimension ref="A1:A4"/>
  <sheetViews>
    <sheetView workbookViewId="0">
      <selection activeCell="E5" sqref="E5"/>
    </sheetView>
  </sheetViews>
  <sheetFormatPr baseColWidth="10" defaultRowHeight="14.4" x14ac:dyDescent="0.3"/>
  <cols>
    <col min="1" max="1" width="26" customWidth="1"/>
  </cols>
  <sheetData>
    <row r="1" spans="1:1" x14ac:dyDescent="0.3">
      <c r="A1" t="s">
        <v>49</v>
      </c>
    </row>
    <row r="3" spans="1:1" x14ac:dyDescent="0.3">
      <c r="A3" t="s">
        <v>60</v>
      </c>
    </row>
    <row r="4" spans="1:1" x14ac:dyDescent="0.3">
      <c r="A4" t="s">
        <v>59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Widerstand- und Flächenmomente</vt:lpstr>
      <vt:lpstr>Einzellast </vt:lpstr>
      <vt:lpstr>Streckenlast</vt:lpstr>
      <vt:lpstr>Dropdown,Quellen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Omlor</dc:creator>
  <cp:lastModifiedBy>Omlor, Katrin</cp:lastModifiedBy>
  <dcterms:created xsi:type="dcterms:W3CDTF">2025-01-03T09:37:11Z</dcterms:created>
  <dcterms:modified xsi:type="dcterms:W3CDTF">2025-06-04T06:16:50Z</dcterms:modified>
</cp:coreProperties>
</file>